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笔试成绩" sheetId="1" r:id="rId1"/>
  </sheets>
  <definedNames>
    <definedName name="_xlnm._FilterDatabase" localSheetId="0" hidden="1">笔试成绩!$A$2:$I$2637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<sst xmlns="http://schemas.openxmlformats.org/spreadsheetml/2006/main" count="3524" uniqueCount="27">
  <si>
    <t>2025年沛县面向社会公开招聘编制教师笔试成绩</t>
  </si>
  <si>
    <t>岗位代码</t>
  </si>
  <si>
    <t>岗位名称</t>
  </si>
  <si>
    <t>姓名</t>
  </si>
  <si>
    <t>性别</t>
  </si>
  <si>
    <t>准考证号</t>
  </si>
  <si>
    <t>考场号</t>
  </si>
  <si>
    <t>座位号</t>
  </si>
  <si>
    <t xml:space="preserve"> 笔试成绩</t>
  </si>
  <si>
    <t>备注</t>
  </si>
  <si>
    <t>小学语文教师</t>
  </si>
  <si>
    <t>缺考</t>
  </si>
  <si>
    <t>高中语文老师</t>
  </si>
  <si>
    <t>小学数学教师</t>
  </si>
  <si>
    <t>高中数学教师</t>
  </si>
  <si>
    <t>小学英语教师</t>
  </si>
  <si>
    <t>高中英语教师</t>
  </si>
  <si>
    <t>健康养老服务教学实训教师</t>
  </si>
  <si>
    <t>纺织类教师</t>
  </si>
  <si>
    <t>小学音乐教师</t>
  </si>
  <si>
    <t>小学体育教师</t>
  </si>
  <si>
    <t>幼儿园教师</t>
  </si>
  <si>
    <t>小学美术教师</t>
  </si>
  <si>
    <t>特殊教育教师</t>
  </si>
  <si>
    <t>机电类教师</t>
  </si>
  <si>
    <t>高中化学教师</t>
  </si>
  <si>
    <t>高中物理教师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</si>
</sst>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37"/>
  <sheetViews>
    <sheetView tabSelected="1" topLeftCell="A253" workbookViewId="0">
      <selection activeCell="K272" sqref="K272"/>
    </sheetView>
  </sheetViews>
  <sheetFormatPr defaultColWidth="9" defaultRowHeight="15" customHeight="1"/>
  <cols>
    <col min="1" max="1" width="11.25" style="1" customWidth="1"/>
    <col min="2" max="2" width="15.875" style="1" customWidth="1"/>
    <col min="3" max="3" width="9.5" style="1" customWidth="1"/>
    <col min="4" max="4" width="4.5" style="1" customWidth="1"/>
    <col min="5" max="5" width="11.75" style="1" customWidth="1"/>
    <col min="6" max="7" width="7.125" style="1" customWidth="1"/>
    <col min="8" max="8" width="9" style="1"/>
    <col min="9" max="9" width="5.75" style="1" customWidth="1"/>
    <col min="10" max="16384" width="9" style="1"/>
  </cols>
  <sheetData>
    <row r="1" ht="47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.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3" t="s">
        <v>9</v>
      </c>
    </row>
    <row r="3" customHeight="1" spans="1:9">
      <c r="A3" s="3" t="str">
        <f t="shared" ref="A3:A66" si="0">"0102"</f>
        <v>0102</v>
      </c>
      <c r="B3" s="3" t="s">
        <v>10</v>
      </c>
      <c r="C3" s="3" t="str">
        <f>"王可颜"</f>
        <v>王可颜</v>
      </c>
      <c r="D3" s="3" t="str">
        <f t="shared" ref="D3:D59" si="1">"女"</f>
        <v>女</v>
      </c>
      <c r="E3" s="3" t="str">
        <f>"2507010101"</f>
        <v>2507010101</v>
      </c>
      <c r="F3" s="3" t="str">
        <f t="shared" ref="F3:F32" si="2">"01"</f>
        <v>01</v>
      </c>
      <c r="G3" s="4" t="str">
        <f>"01"</f>
        <v>01</v>
      </c>
      <c r="H3" s="5">
        <v>0</v>
      </c>
      <c r="I3" s="3" t="s">
        <v>11</v>
      </c>
    </row>
    <row r="4" customHeight="1" spans="1:9">
      <c r="A4" s="3" t="str">
        <f t="shared" si="0"/>
        <v>0102</v>
      </c>
      <c r="B4" s="3" t="s">
        <v>10</v>
      </c>
      <c r="C4" s="3" t="str">
        <f>"沈雯欣"</f>
        <v>沈雯欣</v>
      </c>
      <c r="D4" s="3" t="str">
        <f t="shared" si="1"/>
        <v>女</v>
      </c>
      <c r="E4" s="3" t="str">
        <f>"2507010102"</f>
        <v>2507010102</v>
      </c>
      <c r="F4" s="3" t="str">
        <f t="shared" si="2"/>
        <v>01</v>
      </c>
      <c r="G4" s="4" t="str">
        <f>"02"</f>
        <v>02</v>
      </c>
      <c r="H4" s="5">
        <v>80.5</v>
      </c>
      <c r="I4" s="3"/>
    </row>
    <row r="5" customHeight="1" spans="1:9">
      <c r="A5" s="3" t="str">
        <f t="shared" si="0"/>
        <v>0102</v>
      </c>
      <c r="B5" s="3" t="s">
        <v>10</v>
      </c>
      <c r="C5" s="3" t="str">
        <f>"许雨晴"</f>
        <v>许雨晴</v>
      </c>
      <c r="D5" s="3" t="str">
        <f t="shared" si="1"/>
        <v>女</v>
      </c>
      <c r="E5" s="3" t="str">
        <f>"2507010103"</f>
        <v>2507010103</v>
      </c>
      <c r="F5" s="3" t="str">
        <f t="shared" si="2"/>
        <v>01</v>
      </c>
      <c r="G5" s="4" t="str">
        <f>"03"</f>
        <v>03</v>
      </c>
      <c r="H5" s="5">
        <v>0</v>
      </c>
      <c r="I5" s="3" t="s">
        <v>11</v>
      </c>
    </row>
    <row r="6" customHeight="1" spans="1:9">
      <c r="A6" s="3" t="str">
        <f t="shared" si="0"/>
        <v>0102</v>
      </c>
      <c r="B6" s="3" t="s">
        <v>10</v>
      </c>
      <c r="C6" s="3" t="str">
        <f>"杜梦佳"</f>
        <v>杜梦佳</v>
      </c>
      <c r="D6" s="3" t="str">
        <f t="shared" si="1"/>
        <v>女</v>
      </c>
      <c r="E6" s="3" t="str">
        <f>"2507010104"</f>
        <v>2507010104</v>
      </c>
      <c r="F6" s="3" t="str">
        <f t="shared" si="2"/>
        <v>01</v>
      </c>
      <c r="G6" s="4" t="str">
        <f>"04"</f>
        <v>04</v>
      </c>
      <c r="H6" s="5">
        <v>0</v>
      </c>
      <c r="I6" s="3" t="s">
        <v>11</v>
      </c>
    </row>
    <row r="7" customHeight="1" spans="1:9">
      <c r="A7" s="3" t="str">
        <f t="shared" si="0"/>
        <v>0102</v>
      </c>
      <c r="B7" s="3" t="s">
        <v>10</v>
      </c>
      <c r="C7" s="3" t="str">
        <f>"李晓杨"</f>
        <v>李晓杨</v>
      </c>
      <c r="D7" s="3" t="str">
        <f t="shared" si="1"/>
        <v>女</v>
      </c>
      <c r="E7" s="3" t="str">
        <f>"2507010105"</f>
        <v>2507010105</v>
      </c>
      <c r="F7" s="3" t="str">
        <f t="shared" si="2"/>
        <v>01</v>
      </c>
      <c r="G7" s="4" t="str">
        <f>"05"</f>
        <v>05</v>
      </c>
      <c r="H7" s="5">
        <v>78</v>
      </c>
      <c r="I7" s="3"/>
    </row>
    <row r="8" customHeight="1" spans="1:9">
      <c r="A8" s="3" t="str">
        <f t="shared" si="0"/>
        <v>0102</v>
      </c>
      <c r="B8" s="3" t="s">
        <v>10</v>
      </c>
      <c r="C8" s="3" t="str">
        <f>"王淑颖"</f>
        <v>王淑颖</v>
      </c>
      <c r="D8" s="3" t="str">
        <f t="shared" si="1"/>
        <v>女</v>
      </c>
      <c r="E8" s="3" t="str">
        <f>"2507010106"</f>
        <v>2507010106</v>
      </c>
      <c r="F8" s="3" t="str">
        <f t="shared" si="2"/>
        <v>01</v>
      </c>
      <c r="G8" s="4" t="str">
        <f>"06"</f>
        <v>06</v>
      </c>
      <c r="H8" s="5">
        <v>79</v>
      </c>
      <c r="I8" s="3"/>
    </row>
    <row r="9" customHeight="1" spans="1:9">
      <c r="A9" s="3" t="str">
        <f t="shared" si="0"/>
        <v>0102</v>
      </c>
      <c r="B9" s="3" t="s">
        <v>10</v>
      </c>
      <c r="C9" s="3" t="str">
        <f>"赵淑军"</f>
        <v>赵淑军</v>
      </c>
      <c r="D9" s="3" t="str">
        <f t="shared" si="1"/>
        <v>女</v>
      </c>
      <c r="E9" s="3" t="str">
        <f>"2507010107"</f>
        <v>2507010107</v>
      </c>
      <c r="F9" s="3" t="str">
        <f t="shared" si="2"/>
        <v>01</v>
      </c>
      <c r="G9" s="4" t="str">
        <f>"07"</f>
        <v>07</v>
      </c>
      <c r="H9" s="5">
        <v>75</v>
      </c>
      <c r="I9" s="3"/>
    </row>
    <row r="10" customHeight="1" spans="1:9">
      <c r="A10" s="3" t="str">
        <f t="shared" si="0"/>
        <v>0102</v>
      </c>
      <c r="B10" s="3" t="s">
        <v>10</v>
      </c>
      <c r="C10" s="3" t="str">
        <f>"李雅"</f>
        <v>李雅</v>
      </c>
      <c r="D10" s="3" t="str">
        <f t="shared" si="1"/>
        <v>女</v>
      </c>
      <c r="E10" s="3" t="str">
        <f>"2507010108"</f>
        <v>2507010108</v>
      </c>
      <c r="F10" s="3" t="str">
        <f t="shared" si="2"/>
        <v>01</v>
      </c>
      <c r="G10" s="4" t="str">
        <f>"08"</f>
        <v>08</v>
      </c>
      <c r="H10" s="5">
        <v>76</v>
      </c>
      <c r="I10" s="3"/>
    </row>
    <row r="11" customHeight="1" spans="1:9">
      <c r="A11" s="3" t="str">
        <f t="shared" si="0"/>
        <v>0102</v>
      </c>
      <c r="B11" s="3" t="s">
        <v>10</v>
      </c>
      <c r="C11" s="3" t="str">
        <f>"孙乐乐"</f>
        <v>孙乐乐</v>
      </c>
      <c r="D11" s="3" t="str">
        <f t="shared" si="1"/>
        <v>女</v>
      </c>
      <c r="E11" s="3" t="str">
        <f>"2507010109"</f>
        <v>2507010109</v>
      </c>
      <c r="F11" s="3" t="str">
        <f t="shared" si="2"/>
        <v>01</v>
      </c>
      <c r="G11" s="4" t="str">
        <f>"09"</f>
        <v>09</v>
      </c>
      <c r="H11" s="5">
        <v>57.5</v>
      </c>
      <c r="I11" s="3"/>
    </row>
    <row r="12" customHeight="1" spans="1:9">
      <c r="A12" s="3" t="str">
        <f t="shared" si="0"/>
        <v>0102</v>
      </c>
      <c r="B12" s="3" t="s">
        <v>10</v>
      </c>
      <c r="C12" s="3" t="str">
        <f>"朱东梅"</f>
        <v>朱东梅</v>
      </c>
      <c r="D12" s="3" t="str">
        <f t="shared" si="1"/>
        <v>女</v>
      </c>
      <c r="E12" s="3" t="str">
        <f>"2507010110"</f>
        <v>2507010110</v>
      </c>
      <c r="F12" s="3" t="str">
        <f t="shared" si="2"/>
        <v>01</v>
      </c>
      <c r="G12" s="4" t="str">
        <f>"10"</f>
        <v>10</v>
      </c>
      <c r="H12" s="5">
        <v>79</v>
      </c>
      <c r="I12" s="3"/>
    </row>
    <row r="13" customHeight="1" spans="1:9">
      <c r="A13" s="3" t="str">
        <f t="shared" si="0"/>
        <v>0102</v>
      </c>
      <c r="B13" s="3" t="s">
        <v>10</v>
      </c>
      <c r="C13" s="3" t="str">
        <f>"戴宇曼"</f>
        <v>戴宇曼</v>
      </c>
      <c r="D13" s="3" t="str">
        <f t="shared" si="1"/>
        <v>女</v>
      </c>
      <c r="E13" s="3" t="str">
        <f>"2507010111"</f>
        <v>2507010111</v>
      </c>
      <c r="F13" s="3" t="str">
        <f t="shared" si="2"/>
        <v>01</v>
      </c>
      <c r="G13" s="4" t="str">
        <f>"11"</f>
        <v>11</v>
      </c>
      <c r="H13" s="5">
        <v>78.5</v>
      </c>
      <c r="I13" s="3"/>
    </row>
    <row r="14" customHeight="1" spans="1:9">
      <c r="A14" s="3" t="str">
        <f t="shared" si="0"/>
        <v>0102</v>
      </c>
      <c r="B14" s="3" t="s">
        <v>10</v>
      </c>
      <c r="C14" s="3" t="str">
        <f>"管璐璐"</f>
        <v>管璐璐</v>
      </c>
      <c r="D14" s="3" t="str">
        <f t="shared" si="1"/>
        <v>女</v>
      </c>
      <c r="E14" s="3" t="str">
        <f>"2507010112"</f>
        <v>2507010112</v>
      </c>
      <c r="F14" s="3" t="str">
        <f t="shared" si="2"/>
        <v>01</v>
      </c>
      <c r="G14" s="4" t="str">
        <f>"12"</f>
        <v>12</v>
      </c>
      <c r="H14" s="5">
        <v>0</v>
      </c>
      <c r="I14" s="3" t="s">
        <v>11</v>
      </c>
    </row>
    <row r="15" customHeight="1" spans="1:9">
      <c r="A15" s="3" t="str">
        <f t="shared" si="0"/>
        <v>0102</v>
      </c>
      <c r="B15" s="3" t="s">
        <v>10</v>
      </c>
      <c r="C15" s="3" t="str">
        <f>"郝一繁"</f>
        <v>郝一繁</v>
      </c>
      <c r="D15" s="3" t="str">
        <f t="shared" si="1"/>
        <v>女</v>
      </c>
      <c r="E15" s="3" t="str">
        <f>"2507010113"</f>
        <v>2507010113</v>
      </c>
      <c r="F15" s="3" t="str">
        <f t="shared" si="2"/>
        <v>01</v>
      </c>
      <c r="G15" s="4" t="str">
        <f>"13"</f>
        <v>13</v>
      </c>
      <c r="H15" s="5">
        <v>0</v>
      </c>
      <c r="I15" s="3" t="s">
        <v>11</v>
      </c>
    </row>
    <row r="16" customHeight="1" spans="1:9">
      <c r="A16" s="3" t="str">
        <f t="shared" si="0"/>
        <v>0102</v>
      </c>
      <c r="B16" s="3" t="s">
        <v>10</v>
      </c>
      <c r="C16" s="3" t="str">
        <f>"杨佳慧子"</f>
        <v>杨佳慧子</v>
      </c>
      <c r="D16" s="3" t="str">
        <f t="shared" si="1"/>
        <v>女</v>
      </c>
      <c r="E16" s="3" t="str">
        <f>"2507010114"</f>
        <v>2507010114</v>
      </c>
      <c r="F16" s="3" t="str">
        <f t="shared" si="2"/>
        <v>01</v>
      </c>
      <c r="G16" s="4" t="str">
        <f>"14"</f>
        <v>14</v>
      </c>
      <c r="H16" s="5">
        <v>78</v>
      </c>
      <c r="I16" s="3"/>
    </row>
    <row r="17" customHeight="1" spans="1:9">
      <c r="A17" s="3" t="str">
        <f t="shared" si="0"/>
        <v>0102</v>
      </c>
      <c r="B17" s="3" t="s">
        <v>10</v>
      </c>
      <c r="C17" s="3" t="str">
        <f>"田静"</f>
        <v>田静</v>
      </c>
      <c r="D17" s="3" t="str">
        <f t="shared" si="1"/>
        <v>女</v>
      </c>
      <c r="E17" s="3" t="str">
        <f>"2507010115"</f>
        <v>2507010115</v>
      </c>
      <c r="F17" s="3" t="str">
        <f t="shared" si="2"/>
        <v>01</v>
      </c>
      <c r="G17" s="4" t="str">
        <f>"15"</f>
        <v>15</v>
      </c>
      <c r="H17" s="5">
        <v>79</v>
      </c>
      <c r="I17" s="3"/>
    </row>
    <row r="18" customHeight="1" spans="1:9">
      <c r="A18" s="3" t="str">
        <f t="shared" si="0"/>
        <v>0102</v>
      </c>
      <c r="B18" s="3" t="s">
        <v>10</v>
      </c>
      <c r="C18" s="3" t="str">
        <f>"夏纯洁"</f>
        <v>夏纯洁</v>
      </c>
      <c r="D18" s="3" t="str">
        <f t="shared" si="1"/>
        <v>女</v>
      </c>
      <c r="E18" s="3" t="str">
        <f>"2507010116"</f>
        <v>2507010116</v>
      </c>
      <c r="F18" s="3" t="str">
        <f t="shared" si="2"/>
        <v>01</v>
      </c>
      <c r="G18" s="4" t="str">
        <f>"16"</f>
        <v>16</v>
      </c>
      <c r="H18" s="5">
        <v>72.5</v>
      </c>
      <c r="I18" s="3"/>
    </row>
    <row r="19" customHeight="1" spans="1:9">
      <c r="A19" s="3" t="str">
        <f t="shared" si="0"/>
        <v>0102</v>
      </c>
      <c r="B19" s="3" t="s">
        <v>10</v>
      </c>
      <c r="C19" s="3" t="str">
        <f>"马启玥"</f>
        <v>马启玥</v>
      </c>
      <c r="D19" s="3" t="str">
        <f t="shared" si="1"/>
        <v>女</v>
      </c>
      <c r="E19" s="3" t="str">
        <f>"2507010117"</f>
        <v>2507010117</v>
      </c>
      <c r="F19" s="3" t="str">
        <f t="shared" si="2"/>
        <v>01</v>
      </c>
      <c r="G19" s="4" t="str">
        <f>"17"</f>
        <v>17</v>
      </c>
      <c r="H19" s="5">
        <v>0</v>
      </c>
      <c r="I19" s="3" t="s">
        <v>11</v>
      </c>
    </row>
    <row r="20" customHeight="1" spans="1:9">
      <c r="A20" s="3" t="str">
        <f t="shared" si="0"/>
        <v>0102</v>
      </c>
      <c r="B20" s="3" t="s">
        <v>10</v>
      </c>
      <c r="C20" s="3" t="str">
        <f>"尹银银"</f>
        <v>尹银银</v>
      </c>
      <c r="D20" s="3" t="str">
        <f t="shared" si="1"/>
        <v>女</v>
      </c>
      <c r="E20" s="3" t="str">
        <f>"2507010118"</f>
        <v>2507010118</v>
      </c>
      <c r="F20" s="3" t="str">
        <f t="shared" si="2"/>
        <v>01</v>
      </c>
      <c r="G20" s="4" t="str">
        <f>"18"</f>
        <v>18</v>
      </c>
      <c r="H20" s="5">
        <v>84.5</v>
      </c>
      <c r="I20" s="3"/>
    </row>
    <row r="21" customHeight="1" spans="1:9">
      <c r="A21" s="3" t="str">
        <f t="shared" si="0"/>
        <v>0102</v>
      </c>
      <c r="B21" s="3" t="s">
        <v>10</v>
      </c>
      <c r="C21" s="3" t="str">
        <f>"李冰冰"</f>
        <v>李冰冰</v>
      </c>
      <c r="D21" s="3" t="str">
        <f t="shared" si="1"/>
        <v>女</v>
      </c>
      <c r="E21" s="3" t="str">
        <f>"2507010119"</f>
        <v>2507010119</v>
      </c>
      <c r="F21" s="3" t="str">
        <f t="shared" si="2"/>
        <v>01</v>
      </c>
      <c r="G21" s="4" t="str">
        <f>"19"</f>
        <v>19</v>
      </c>
      <c r="H21" s="5">
        <v>76.5</v>
      </c>
      <c r="I21" s="3"/>
    </row>
    <row r="22" customHeight="1" spans="1:9">
      <c r="A22" s="3" t="str">
        <f t="shared" si="0"/>
        <v>0102</v>
      </c>
      <c r="B22" s="3" t="s">
        <v>10</v>
      </c>
      <c r="C22" s="3" t="str">
        <f>"张露赢"</f>
        <v>张露赢</v>
      </c>
      <c r="D22" s="3" t="str">
        <f t="shared" si="1"/>
        <v>女</v>
      </c>
      <c r="E22" s="3" t="str">
        <f>"2507010120"</f>
        <v>2507010120</v>
      </c>
      <c r="F22" s="3" t="str">
        <f t="shared" si="2"/>
        <v>01</v>
      </c>
      <c r="G22" s="4" t="str">
        <f>"20"</f>
        <v>20</v>
      </c>
      <c r="H22" s="5">
        <v>71</v>
      </c>
      <c r="I22" s="3"/>
    </row>
    <row r="23" customHeight="1" spans="1:9">
      <c r="A23" s="3" t="str">
        <f t="shared" si="0"/>
        <v>0102</v>
      </c>
      <c r="B23" s="3" t="s">
        <v>10</v>
      </c>
      <c r="C23" s="3" t="str">
        <f>"钱路路"</f>
        <v>钱路路</v>
      </c>
      <c r="D23" s="3" t="str">
        <f t="shared" si="1"/>
        <v>女</v>
      </c>
      <c r="E23" s="3" t="str">
        <f>"2507010121"</f>
        <v>2507010121</v>
      </c>
      <c r="F23" s="3" t="str">
        <f t="shared" si="2"/>
        <v>01</v>
      </c>
      <c r="G23" s="4" t="str">
        <f>"21"</f>
        <v>21</v>
      </c>
      <c r="H23" s="5">
        <v>89</v>
      </c>
      <c r="I23" s="3"/>
    </row>
    <row r="24" customHeight="1" spans="1:9">
      <c r="A24" s="3" t="str">
        <f t="shared" si="0"/>
        <v>0102</v>
      </c>
      <c r="B24" s="3" t="s">
        <v>10</v>
      </c>
      <c r="C24" s="3" t="str">
        <f>"张文文"</f>
        <v>张文文</v>
      </c>
      <c r="D24" s="3" t="str">
        <f t="shared" si="1"/>
        <v>女</v>
      </c>
      <c r="E24" s="3" t="str">
        <f>"2507010122"</f>
        <v>2507010122</v>
      </c>
      <c r="F24" s="3" t="str">
        <f t="shared" si="2"/>
        <v>01</v>
      </c>
      <c r="G24" s="4" t="str">
        <f>"22"</f>
        <v>22</v>
      </c>
      <c r="H24" s="5">
        <v>68</v>
      </c>
      <c r="I24" s="3"/>
    </row>
    <row r="25" customHeight="1" spans="1:9">
      <c r="A25" s="3" t="str">
        <f t="shared" si="0"/>
        <v>0102</v>
      </c>
      <c r="B25" s="3" t="s">
        <v>10</v>
      </c>
      <c r="C25" s="3" t="str">
        <f>"李双"</f>
        <v>李双</v>
      </c>
      <c r="D25" s="3" t="str">
        <f t="shared" si="1"/>
        <v>女</v>
      </c>
      <c r="E25" s="3" t="str">
        <f>"2507010123"</f>
        <v>2507010123</v>
      </c>
      <c r="F25" s="3" t="str">
        <f t="shared" si="2"/>
        <v>01</v>
      </c>
      <c r="G25" s="4" t="str">
        <f>"23"</f>
        <v>23</v>
      </c>
      <c r="H25" s="5">
        <v>80</v>
      </c>
      <c r="I25" s="3"/>
    </row>
    <row r="26" customHeight="1" spans="1:9">
      <c r="A26" s="3" t="str">
        <f t="shared" si="0"/>
        <v>0102</v>
      </c>
      <c r="B26" s="3" t="s">
        <v>10</v>
      </c>
      <c r="C26" s="3" t="str">
        <f>"丁文玉"</f>
        <v>丁文玉</v>
      </c>
      <c r="D26" s="3" t="str">
        <f t="shared" si="1"/>
        <v>女</v>
      </c>
      <c r="E26" s="3" t="str">
        <f>"2507010124"</f>
        <v>2507010124</v>
      </c>
      <c r="F26" s="3" t="str">
        <f t="shared" si="2"/>
        <v>01</v>
      </c>
      <c r="G26" s="4" t="str">
        <f>"24"</f>
        <v>24</v>
      </c>
      <c r="H26" s="5">
        <v>73</v>
      </c>
      <c r="I26" s="3"/>
    </row>
    <row r="27" customHeight="1" spans="1:9">
      <c r="A27" s="3" t="str">
        <f t="shared" si="0"/>
        <v>0102</v>
      </c>
      <c r="B27" s="3" t="s">
        <v>10</v>
      </c>
      <c r="C27" s="3" t="str">
        <f>"刘晴"</f>
        <v>刘晴</v>
      </c>
      <c r="D27" s="3" t="str">
        <f t="shared" si="1"/>
        <v>女</v>
      </c>
      <c r="E27" s="3" t="str">
        <f>"2507010125"</f>
        <v>2507010125</v>
      </c>
      <c r="F27" s="3" t="str">
        <f t="shared" si="2"/>
        <v>01</v>
      </c>
      <c r="G27" s="4" t="str">
        <f>"25"</f>
        <v>25</v>
      </c>
      <c r="H27" s="5">
        <v>74.5</v>
      </c>
      <c r="I27" s="3"/>
    </row>
    <row r="28" customHeight="1" spans="1:9">
      <c r="A28" s="3" t="str">
        <f t="shared" si="0"/>
        <v>0102</v>
      </c>
      <c r="B28" s="3" t="s">
        <v>10</v>
      </c>
      <c r="C28" s="3" t="str">
        <f>"黄子晴"</f>
        <v>黄子晴</v>
      </c>
      <c r="D28" s="3" t="str">
        <f t="shared" si="1"/>
        <v>女</v>
      </c>
      <c r="E28" s="3" t="str">
        <f>"2507010126"</f>
        <v>2507010126</v>
      </c>
      <c r="F28" s="3" t="str">
        <f t="shared" si="2"/>
        <v>01</v>
      </c>
      <c r="G28" s="4" t="str">
        <f>"26"</f>
        <v>26</v>
      </c>
      <c r="H28" s="5">
        <v>80</v>
      </c>
      <c r="I28" s="3"/>
    </row>
    <row r="29" customHeight="1" spans="1:9">
      <c r="A29" s="3" t="str">
        <f t="shared" si="0"/>
        <v>0102</v>
      </c>
      <c r="B29" s="3" t="s">
        <v>10</v>
      </c>
      <c r="C29" s="3" t="str">
        <f>"张玉玉"</f>
        <v>张玉玉</v>
      </c>
      <c r="D29" s="3" t="str">
        <f t="shared" si="1"/>
        <v>女</v>
      </c>
      <c r="E29" s="3" t="str">
        <f>"2507010127"</f>
        <v>2507010127</v>
      </c>
      <c r="F29" s="3" t="str">
        <f t="shared" si="2"/>
        <v>01</v>
      </c>
      <c r="G29" s="4" t="str">
        <f>"27"</f>
        <v>27</v>
      </c>
      <c r="H29" s="5">
        <v>72.5</v>
      </c>
      <c r="I29" s="3"/>
    </row>
    <row r="30" customHeight="1" spans="1:9">
      <c r="A30" s="3" t="str">
        <f t="shared" si="0"/>
        <v>0102</v>
      </c>
      <c r="B30" s="3" t="s">
        <v>10</v>
      </c>
      <c r="C30" s="3" t="str">
        <f>"卢德政"</f>
        <v>卢德政</v>
      </c>
      <c r="D30" s="3" t="str">
        <f t="shared" si="1"/>
        <v>女</v>
      </c>
      <c r="E30" s="3" t="str">
        <f>"2507010128"</f>
        <v>2507010128</v>
      </c>
      <c r="F30" s="3" t="str">
        <f t="shared" si="2"/>
        <v>01</v>
      </c>
      <c r="G30" s="4" t="str">
        <f>"28"</f>
        <v>28</v>
      </c>
      <c r="H30" s="5">
        <v>0</v>
      </c>
      <c r="I30" s="3" t="s">
        <v>11</v>
      </c>
    </row>
    <row r="31" customHeight="1" spans="1:9">
      <c r="A31" s="3" t="str">
        <f t="shared" si="0"/>
        <v>0102</v>
      </c>
      <c r="B31" s="3" t="s">
        <v>10</v>
      </c>
      <c r="C31" s="3" t="str">
        <f>"魏滢"</f>
        <v>魏滢</v>
      </c>
      <c r="D31" s="3" t="str">
        <f t="shared" si="1"/>
        <v>女</v>
      </c>
      <c r="E31" s="3" t="str">
        <f>"2507010129"</f>
        <v>2507010129</v>
      </c>
      <c r="F31" s="3" t="str">
        <f t="shared" si="2"/>
        <v>01</v>
      </c>
      <c r="G31" s="4" t="str">
        <f>"29"</f>
        <v>29</v>
      </c>
      <c r="H31" s="5">
        <v>61.5</v>
      </c>
      <c r="I31" s="3"/>
    </row>
    <row r="32" customHeight="1" spans="1:9">
      <c r="A32" s="3" t="str">
        <f t="shared" si="0"/>
        <v>0102</v>
      </c>
      <c r="B32" s="3" t="s">
        <v>10</v>
      </c>
      <c r="C32" s="3" t="str">
        <f>"邢运"</f>
        <v>邢运</v>
      </c>
      <c r="D32" s="3" t="str">
        <f t="shared" si="1"/>
        <v>女</v>
      </c>
      <c r="E32" s="3" t="str">
        <f>"2507010130"</f>
        <v>2507010130</v>
      </c>
      <c r="F32" s="3" t="str">
        <f t="shared" si="2"/>
        <v>01</v>
      </c>
      <c r="G32" s="4" t="str">
        <f>"30"</f>
        <v>30</v>
      </c>
      <c r="H32" s="5">
        <v>66.5</v>
      </c>
      <c r="I32" s="3"/>
    </row>
    <row r="33" customHeight="1" spans="1:9">
      <c r="A33" s="3" t="str">
        <f t="shared" si="0"/>
        <v>0102</v>
      </c>
      <c r="B33" s="3" t="s">
        <v>10</v>
      </c>
      <c r="C33" s="3" t="str">
        <f>"吴胜楠"</f>
        <v>吴胜楠</v>
      </c>
      <c r="D33" s="3" t="str">
        <f t="shared" si="1"/>
        <v>女</v>
      </c>
      <c r="E33" s="3" t="str">
        <f>"2507010201"</f>
        <v>2507010201</v>
      </c>
      <c r="F33" s="3" t="str">
        <f t="shared" ref="F33:F62" si="3">"02"</f>
        <v>02</v>
      </c>
      <c r="G33" s="4" t="str">
        <f>"01"</f>
        <v>01</v>
      </c>
      <c r="H33" s="5">
        <v>79.5</v>
      </c>
      <c r="I33" s="3"/>
    </row>
    <row r="34" customHeight="1" spans="1:9">
      <c r="A34" s="3" t="str">
        <f t="shared" si="0"/>
        <v>0102</v>
      </c>
      <c r="B34" s="3" t="s">
        <v>10</v>
      </c>
      <c r="C34" s="3" t="str">
        <f>"唐艳"</f>
        <v>唐艳</v>
      </c>
      <c r="D34" s="3" t="str">
        <f t="shared" si="1"/>
        <v>女</v>
      </c>
      <c r="E34" s="3" t="str">
        <f>"2507010202"</f>
        <v>2507010202</v>
      </c>
      <c r="F34" s="3" t="str">
        <f t="shared" si="3"/>
        <v>02</v>
      </c>
      <c r="G34" s="4" t="str">
        <f>"02"</f>
        <v>02</v>
      </c>
      <c r="H34" s="5">
        <v>68.5</v>
      </c>
      <c r="I34" s="3"/>
    </row>
    <row r="35" customHeight="1" spans="1:9">
      <c r="A35" s="3" t="str">
        <f t="shared" si="0"/>
        <v>0102</v>
      </c>
      <c r="B35" s="3" t="s">
        <v>10</v>
      </c>
      <c r="C35" s="3" t="str">
        <f>"刁莎"</f>
        <v>刁莎</v>
      </c>
      <c r="D35" s="3" t="str">
        <f t="shared" si="1"/>
        <v>女</v>
      </c>
      <c r="E35" s="3" t="str">
        <f>"2507010203"</f>
        <v>2507010203</v>
      </c>
      <c r="F35" s="3" t="str">
        <f t="shared" si="3"/>
        <v>02</v>
      </c>
      <c r="G35" s="4" t="str">
        <f>"03"</f>
        <v>03</v>
      </c>
      <c r="H35" s="5">
        <v>0</v>
      </c>
      <c r="I35" s="3" t="s">
        <v>11</v>
      </c>
    </row>
    <row r="36" customHeight="1" spans="1:9">
      <c r="A36" s="3" t="str">
        <f t="shared" si="0"/>
        <v>0102</v>
      </c>
      <c r="B36" s="3" t="s">
        <v>10</v>
      </c>
      <c r="C36" s="3" t="str">
        <f>"段以琳"</f>
        <v>段以琳</v>
      </c>
      <c r="D36" s="3" t="str">
        <f t="shared" si="1"/>
        <v>女</v>
      </c>
      <c r="E36" s="3" t="str">
        <f>"2507010204"</f>
        <v>2507010204</v>
      </c>
      <c r="F36" s="3" t="str">
        <f t="shared" si="3"/>
        <v>02</v>
      </c>
      <c r="G36" s="4" t="str">
        <f>"04"</f>
        <v>04</v>
      </c>
      <c r="H36" s="5">
        <v>69.5</v>
      </c>
      <c r="I36" s="3"/>
    </row>
    <row r="37" customHeight="1" spans="1:9">
      <c r="A37" s="3" t="str">
        <f t="shared" si="0"/>
        <v>0102</v>
      </c>
      <c r="B37" s="3" t="s">
        <v>10</v>
      </c>
      <c r="C37" s="3" t="str">
        <f>"朱亚男"</f>
        <v>朱亚男</v>
      </c>
      <c r="D37" s="3" t="str">
        <f t="shared" si="1"/>
        <v>女</v>
      </c>
      <c r="E37" s="3" t="str">
        <f>"2507010205"</f>
        <v>2507010205</v>
      </c>
      <c r="F37" s="3" t="str">
        <f t="shared" si="3"/>
        <v>02</v>
      </c>
      <c r="G37" s="4" t="str">
        <f>"05"</f>
        <v>05</v>
      </c>
      <c r="H37" s="5">
        <v>77.5</v>
      </c>
      <c r="I37" s="3"/>
    </row>
    <row r="38" customHeight="1" spans="1:9">
      <c r="A38" s="3" t="str">
        <f t="shared" si="0"/>
        <v>0102</v>
      </c>
      <c r="B38" s="3" t="s">
        <v>10</v>
      </c>
      <c r="C38" s="3" t="str">
        <f>"孙卓"</f>
        <v>孙卓</v>
      </c>
      <c r="D38" s="3" t="str">
        <f t="shared" si="1"/>
        <v>女</v>
      </c>
      <c r="E38" s="3" t="str">
        <f>"2507010206"</f>
        <v>2507010206</v>
      </c>
      <c r="F38" s="3" t="str">
        <f t="shared" si="3"/>
        <v>02</v>
      </c>
      <c r="G38" s="4" t="str">
        <f>"06"</f>
        <v>06</v>
      </c>
      <c r="H38" s="5">
        <v>75</v>
      </c>
      <c r="I38" s="3"/>
    </row>
    <row r="39" customHeight="1" spans="1:9">
      <c r="A39" s="3" t="str">
        <f t="shared" si="0"/>
        <v>0102</v>
      </c>
      <c r="B39" s="3" t="s">
        <v>10</v>
      </c>
      <c r="C39" s="3" t="str">
        <f>"王静"</f>
        <v>王静</v>
      </c>
      <c r="D39" s="3" t="str">
        <f t="shared" si="1"/>
        <v>女</v>
      </c>
      <c r="E39" s="3" t="str">
        <f>"2507010207"</f>
        <v>2507010207</v>
      </c>
      <c r="F39" s="3" t="str">
        <f t="shared" si="3"/>
        <v>02</v>
      </c>
      <c r="G39" s="4" t="str">
        <f>"07"</f>
        <v>07</v>
      </c>
      <c r="H39" s="5">
        <v>81</v>
      </c>
      <c r="I39" s="3"/>
    </row>
    <row r="40" customHeight="1" spans="1:9">
      <c r="A40" s="3" t="str">
        <f t="shared" si="0"/>
        <v>0102</v>
      </c>
      <c r="B40" s="3" t="s">
        <v>10</v>
      </c>
      <c r="C40" s="3" t="str">
        <f>"冯程程"</f>
        <v>冯程程</v>
      </c>
      <c r="D40" s="3" t="str">
        <f t="shared" si="1"/>
        <v>女</v>
      </c>
      <c r="E40" s="3" t="str">
        <f>"2507010208"</f>
        <v>2507010208</v>
      </c>
      <c r="F40" s="3" t="str">
        <f t="shared" si="3"/>
        <v>02</v>
      </c>
      <c r="G40" s="4" t="str">
        <f>"08"</f>
        <v>08</v>
      </c>
      <c r="H40" s="5">
        <v>73.5</v>
      </c>
      <c r="I40" s="3"/>
    </row>
    <row r="41" customHeight="1" spans="1:9">
      <c r="A41" s="3" t="str">
        <f t="shared" si="0"/>
        <v>0102</v>
      </c>
      <c r="B41" s="3" t="s">
        <v>10</v>
      </c>
      <c r="C41" s="3" t="str">
        <f>"郭亚楠"</f>
        <v>郭亚楠</v>
      </c>
      <c r="D41" s="3" t="str">
        <f t="shared" si="1"/>
        <v>女</v>
      </c>
      <c r="E41" s="3" t="str">
        <f>"2507010209"</f>
        <v>2507010209</v>
      </c>
      <c r="F41" s="3" t="str">
        <f t="shared" si="3"/>
        <v>02</v>
      </c>
      <c r="G41" s="4" t="str">
        <f>"09"</f>
        <v>09</v>
      </c>
      <c r="H41" s="5">
        <v>65</v>
      </c>
      <c r="I41" s="3"/>
    </row>
    <row r="42" customHeight="1" spans="1:9">
      <c r="A42" s="3" t="str">
        <f t="shared" si="0"/>
        <v>0102</v>
      </c>
      <c r="B42" s="3" t="s">
        <v>10</v>
      </c>
      <c r="C42" s="3" t="str">
        <f>"朱薇蓉"</f>
        <v>朱薇蓉</v>
      </c>
      <c r="D42" s="3" t="str">
        <f t="shared" si="1"/>
        <v>女</v>
      </c>
      <c r="E42" s="3" t="str">
        <f>"2507010210"</f>
        <v>2507010210</v>
      </c>
      <c r="F42" s="3" t="str">
        <f t="shared" si="3"/>
        <v>02</v>
      </c>
      <c r="G42" s="4" t="str">
        <f>"10"</f>
        <v>10</v>
      </c>
      <c r="H42" s="5">
        <v>72.5</v>
      </c>
      <c r="I42" s="3"/>
    </row>
    <row r="43" customHeight="1" spans="1:9">
      <c r="A43" s="3" t="str">
        <f t="shared" si="0"/>
        <v>0102</v>
      </c>
      <c r="B43" s="3" t="s">
        <v>10</v>
      </c>
      <c r="C43" s="3" t="str">
        <f>"张月"</f>
        <v>张月</v>
      </c>
      <c r="D43" s="3" t="str">
        <f t="shared" si="1"/>
        <v>女</v>
      </c>
      <c r="E43" s="3" t="str">
        <f>"2507010211"</f>
        <v>2507010211</v>
      </c>
      <c r="F43" s="3" t="str">
        <f t="shared" si="3"/>
        <v>02</v>
      </c>
      <c r="G43" s="4" t="str">
        <f>"11"</f>
        <v>11</v>
      </c>
      <c r="H43" s="5">
        <v>0</v>
      </c>
      <c r="I43" s="3" t="s">
        <v>11</v>
      </c>
    </row>
    <row r="44" customHeight="1" spans="1:9">
      <c r="A44" s="3" t="str">
        <f t="shared" si="0"/>
        <v>0102</v>
      </c>
      <c r="B44" s="3" t="s">
        <v>10</v>
      </c>
      <c r="C44" s="3" t="str">
        <f>"康佳文"</f>
        <v>康佳文</v>
      </c>
      <c r="D44" s="3" t="str">
        <f t="shared" si="1"/>
        <v>女</v>
      </c>
      <c r="E44" s="3" t="str">
        <f>"2507010212"</f>
        <v>2507010212</v>
      </c>
      <c r="F44" s="3" t="str">
        <f t="shared" si="3"/>
        <v>02</v>
      </c>
      <c r="G44" s="4" t="str">
        <f>"12"</f>
        <v>12</v>
      </c>
      <c r="H44" s="5">
        <v>0</v>
      </c>
      <c r="I44" s="3" t="s">
        <v>11</v>
      </c>
    </row>
    <row r="45" customHeight="1" spans="1:9">
      <c r="A45" s="3" t="str">
        <f t="shared" si="0"/>
        <v>0102</v>
      </c>
      <c r="B45" s="3" t="s">
        <v>10</v>
      </c>
      <c r="C45" s="3" t="str">
        <f>"张含玉"</f>
        <v>张含玉</v>
      </c>
      <c r="D45" s="3" t="str">
        <f t="shared" si="1"/>
        <v>女</v>
      </c>
      <c r="E45" s="3" t="str">
        <f>"2507010213"</f>
        <v>2507010213</v>
      </c>
      <c r="F45" s="3" t="str">
        <f t="shared" si="3"/>
        <v>02</v>
      </c>
      <c r="G45" s="4" t="str">
        <f>"13"</f>
        <v>13</v>
      </c>
      <c r="H45" s="5">
        <v>0</v>
      </c>
      <c r="I45" s="3" t="s">
        <v>11</v>
      </c>
    </row>
    <row r="46" customHeight="1" spans="1:9">
      <c r="A46" s="3" t="str">
        <f t="shared" si="0"/>
        <v>0102</v>
      </c>
      <c r="B46" s="3" t="s">
        <v>10</v>
      </c>
      <c r="C46" s="3" t="str">
        <f>"刘晴"</f>
        <v>刘晴</v>
      </c>
      <c r="D46" s="3" t="str">
        <f t="shared" si="1"/>
        <v>女</v>
      </c>
      <c r="E46" s="3" t="str">
        <f>"2507010214"</f>
        <v>2507010214</v>
      </c>
      <c r="F46" s="3" t="str">
        <f t="shared" si="3"/>
        <v>02</v>
      </c>
      <c r="G46" s="4" t="str">
        <f>"14"</f>
        <v>14</v>
      </c>
      <c r="H46" s="5">
        <v>75.5</v>
      </c>
      <c r="I46" s="3"/>
    </row>
    <row r="47" customHeight="1" spans="1:9">
      <c r="A47" s="3" t="str">
        <f t="shared" si="0"/>
        <v>0102</v>
      </c>
      <c r="B47" s="3" t="s">
        <v>10</v>
      </c>
      <c r="C47" s="3" t="str">
        <f>"师为若"</f>
        <v>师为若</v>
      </c>
      <c r="D47" s="3" t="str">
        <f t="shared" si="1"/>
        <v>女</v>
      </c>
      <c r="E47" s="3" t="str">
        <f>"2507010215"</f>
        <v>2507010215</v>
      </c>
      <c r="F47" s="3" t="str">
        <f t="shared" si="3"/>
        <v>02</v>
      </c>
      <c r="G47" s="4" t="str">
        <f>"15"</f>
        <v>15</v>
      </c>
      <c r="H47" s="5">
        <v>67</v>
      </c>
      <c r="I47" s="3"/>
    </row>
    <row r="48" customHeight="1" spans="1:9">
      <c r="A48" s="3" t="str">
        <f t="shared" si="0"/>
        <v>0102</v>
      </c>
      <c r="B48" s="3" t="s">
        <v>10</v>
      </c>
      <c r="C48" s="3" t="str">
        <f>"陈倩王茹"</f>
        <v>陈倩王茹</v>
      </c>
      <c r="D48" s="3" t="str">
        <f t="shared" si="1"/>
        <v>女</v>
      </c>
      <c r="E48" s="3" t="str">
        <f>"2507010216"</f>
        <v>2507010216</v>
      </c>
      <c r="F48" s="3" t="str">
        <f t="shared" si="3"/>
        <v>02</v>
      </c>
      <c r="G48" s="4" t="str">
        <f>"16"</f>
        <v>16</v>
      </c>
      <c r="H48" s="5">
        <v>0</v>
      </c>
      <c r="I48" s="3" t="s">
        <v>11</v>
      </c>
    </row>
    <row r="49" customHeight="1" spans="1:9">
      <c r="A49" s="3" t="str">
        <f t="shared" si="0"/>
        <v>0102</v>
      </c>
      <c r="B49" s="3" t="s">
        <v>10</v>
      </c>
      <c r="C49" s="3" t="str">
        <f>"颜颂"</f>
        <v>颜颂</v>
      </c>
      <c r="D49" s="3" t="str">
        <f t="shared" si="1"/>
        <v>女</v>
      </c>
      <c r="E49" s="3" t="str">
        <f>"2507010217"</f>
        <v>2507010217</v>
      </c>
      <c r="F49" s="3" t="str">
        <f t="shared" si="3"/>
        <v>02</v>
      </c>
      <c r="G49" s="4" t="str">
        <f>"17"</f>
        <v>17</v>
      </c>
      <c r="H49" s="5">
        <v>75</v>
      </c>
      <c r="I49" s="3"/>
    </row>
    <row r="50" customHeight="1" spans="1:9">
      <c r="A50" s="3" t="str">
        <f t="shared" si="0"/>
        <v>0102</v>
      </c>
      <c r="B50" s="3" t="s">
        <v>10</v>
      </c>
      <c r="C50" s="3" t="str">
        <f>"孟晶晶"</f>
        <v>孟晶晶</v>
      </c>
      <c r="D50" s="3" t="str">
        <f t="shared" si="1"/>
        <v>女</v>
      </c>
      <c r="E50" s="3" t="str">
        <f>"2507010218"</f>
        <v>2507010218</v>
      </c>
      <c r="F50" s="3" t="str">
        <f t="shared" si="3"/>
        <v>02</v>
      </c>
      <c r="G50" s="4" t="str">
        <f>"18"</f>
        <v>18</v>
      </c>
      <c r="H50" s="5">
        <v>79.5</v>
      </c>
      <c r="I50" s="3"/>
    </row>
    <row r="51" customHeight="1" spans="1:9">
      <c r="A51" s="3" t="str">
        <f t="shared" si="0"/>
        <v>0102</v>
      </c>
      <c r="B51" s="3" t="s">
        <v>10</v>
      </c>
      <c r="C51" s="3" t="str">
        <f>"刘翠微"</f>
        <v>刘翠微</v>
      </c>
      <c r="D51" s="3" t="str">
        <f t="shared" si="1"/>
        <v>女</v>
      </c>
      <c r="E51" s="3" t="str">
        <f>"2507010219"</f>
        <v>2507010219</v>
      </c>
      <c r="F51" s="3" t="str">
        <f t="shared" si="3"/>
        <v>02</v>
      </c>
      <c r="G51" s="4" t="str">
        <f>"19"</f>
        <v>19</v>
      </c>
      <c r="H51" s="5">
        <v>0</v>
      </c>
      <c r="I51" s="3" t="s">
        <v>11</v>
      </c>
    </row>
    <row r="52" customHeight="1" spans="1:9">
      <c r="A52" s="3" t="str">
        <f t="shared" si="0"/>
        <v>0102</v>
      </c>
      <c r="B52" s="3" t="s">
        <v>10</v>
      </c>
      <c r="C52" s="3" t="str">
        <f>"张萌"</f>
        <v>张萌</v>
      </c>
      <c r="D52" s="3" t="str">
        <f t="shared" si="1"/>
        <v>女</v>
      </c>
      <c r="E52" s="3" t="str">
        <f>"2507010220"</f>
        <v>2507010220</v>
      </c>
      <c r="F52" s="3" t="str">
        <f t="shared" si="3"/>
        <v>02</v>
      </c>
      <c r="G52" s="4" t="str">
        <f>"20"</f>
        <v>20</v>
      </c>
      <c r="H52" s="5">
        <v>70.5</v>
      </c>
      <c r="I52" s="3"/>
    </row>
    <row r="53" customHeight="1" spans="1:9">
      <c r="A53" s="3" t="str">
        <f t="shared" si="0"/>
        <v>0102</v>
      </c>
      <c r="B53" s="3" t="s">
        <v>10</v>
      </c>
      <c r="C53" s="3" t="str">
        <f>"吴子晨"</f>
        <v>吴子晨</v>
      </c>
      <c r="D53" s="3" t="str">
        <f t="shared" si="1"/>
        <v>女</v>
      </c>
      <c r="E53" s="3" t="str">
        <f>"2507010221"</f>
        <v>2507010221</v>
      </c>
      <c r="F53" s="3" t="str">
        <f t="shared" si="3"/>
        <v>02</v>
      </c>
      <c r="G53" s="4" t="str">
        <f>"21"</f>
        <v>21</v>
      </c>
      <c r="H53" s="5">
        <v>0</v>
      </c>
      <c r="I53" s="3" t="s">
        <v>11</v>
      </c>
    </row>
    <row r="54" customHeight="1" spans="1:9">
      <c r="A54" s="3" t="str">
        <f t="shared" si="0"/>
        <v>0102</v>
      </c>
      <c r="B54" s="3" t="s">
        <v>10</v>
      </c>
      <c r="C54" s="3" t="str">
        <f>"胡宁"</f>
        <v>胡宁</v>
      </c>
      <c r="D54" s="3" t="str">
        <f t="shared" si="1"/>
        <v>女</v>
      </c>
      <c r="E54" s="3" t="str">
        <f>"2507010222"</f>
        <v>2507010222</v>
      </c>
      <c r="F54" s="3" t="str">
        <f t="shared" si="3"/>
        <v>02</v>
      </c>
      <c r="G54" s="4" t="str">
        <f>"22"</f>
        <v>22</v>
      </c>
      <c r="H54" s="5">
        <v>0</v>
      </c>
      <c r="I54" s="3" t="s">
        <v>11</v>
      </c>
    </row>
    <row r="55" customHeight="1" spans="1:9">
      <c r="A55" s="3" t="str">
        <f t="shared" si="0"/>
        <v>0102</v>
      </c>
      <c r="B55" s="3" t="s">
        <v>10</v>
      </c>
      <c r="C55" s="3" t="str">
        <f>"张家源"</f>
        <v>张家源</v>
      </c>
      <c r="D55" s="3" t="str">
        <f t="shared" si="1"/>
        <v>女</v>
      </c>
      <c r="E55" s="3" t="str">
        <f>"2507010223"</f>
        <v>2507010223</v>
      </c>
      <c r="F55" s="3" t="str">
        <f t="shared" si="3"/>
        <v>02</v>
      </c>
      <c r="G55" s="4" t="str">
        <f>"23"</f>
        <v>23</v>
      </c>
      <c r="H55" s="5">
        <v>80</v>
      </c>
      <c r="I55" s="3"/>
    </row>
    <row r="56" customHeight="1" spans="1:9">
      <c r="A56" s="3" t="str">
        <f t="shared" si="0"/>
        <v>0102</v>
      </c>
      <c r="B56" s="3" t="s">
        <v>10</v>
      </c>
      <c r="C56" s="3" t="str">
        <f>"宗晓彤"</f>
        <v>宗晓彤</v>
      </c>
      <c r="D56" s="3" t="str">
        <f t="shared" si="1"/>
        <v>女</v>
      </c>
      <c r="E56" s="3" t="str">
        <f>"2507010224"</f>
        <v>2507010224</v>
      </c>
      <c r="F56" s="3" t="str">
        <f t="shared" si="3"/>
        <v>02</v>
      </c>
      <c r="G56" s="4" t="str">
        <f>"24"</f>
        <v>24</v>
      </c>
      <c r="H56" s="5">
        <v>74</v>
      </c>
      <c r="I56" s="3"/>
    </row>
    <row r="57" customHeight="1" spans="1:9">
      <c r="A57" s="3" t="str">
        <f t="shared" si="0"/>
        <v>0102</v>
      </c>
      <c r="B57" s="3" t="s">
        <v>10</v>
      </c>
      <c r="C57" s="3" t="str">
        <f>"费思宇"</f>
        <v>费思宇</v>
      </c>
      <c r="D57" s="3" t="str">
        <f t="shared" si="1"/>
        <v>女</v>
      </c>
      <c r="E57" s="3" t="str">
        <f>"2507010225"</f>
        <v>2507010225</v>
      </c>
      <c r="F57" s="3" t="str">
        <f t="shared" si="3"/>
        <v>02</v>
      </c>
      <c r="G57" s="4" t="str">
        <f>"25"</f>
        <v>25</v>
      </c>
      <c r="H57" s="5">
        <v>77</v>
      </c>
      <c r="I57" s="3"/>
    </row>
    <row r="58" customHeight="1" spans="1:9">
      <c r="A58" s="3" t="str">
        <f t="shared" si="0"/>
        <v>0102</v>
      </c>
      <c r="B58" s="3" t="s">
        <v>10</v>
      </c>
      <c r="C58" s="3" t="str">
        <f>"周荣跃"</f>
        <v>周荣跃</v>
      </c>
      <c r="D58" s="3" t="str">
        <f t="shared" si="1"/>
        <v>女</v>
      </c>
      <c r="E58" s="3" t="str">
        <f>"2507010226"</f>
        <v>2507010226</v>
      </c>
      <c r="F58" s="3" t="str">
        <f t="shared" si="3"/>
        <v>02</v>
      </c>
      <c r="G58" s="4" t="str">
        <f>"26"</f>
        <v>26</v>
      </c>
      <c r="H58" s="5">
        <v>80</v>
      </c>
      <c r="I58" s="3"/>
    </row>
    <row r="59" customHeight="1" spans="1:9">
      <c r="A59" s="3" t="str">
        <f t="shared" si="0"/>
        <v>0102</v>
      </c>
      <c r="B59" s="3" t="s">
        <v>10</v>
      </c>
      <c r="C59" s="3" t="str">
        <f>"刘玥"</f>
        <v>刘玥</v>
      </c>
      <c r="D59" s="3" t="str">
        <f t="shared" si="1"/>
        <v>女</v>
      </c>
      <c r="E59" s="3" t="str">
        <f>"2507010227"</f>
        <v>2507010227</v>
      </c>
      <c r="F59" s="3" t="str">
        <f t="shared" si="3"/>
        <v>02</v>
      </c>
      <c r="G59" s="4" t="str">
        <f>"27"</f>
        <v>27</v>
      </c>
      <c r="H59" s="5">
        <v>77</v>
      </c>
      <c r="I59" s="3"/>
    </row>
    <row r="60" customHeight="1" spans="1:9">
      <c r="A60" s="3" t="str">
        <f t="shared" si="0"/>
        <v>0102</v>
      </c>
      <c r="B60" s="3" t="s">
        <v>10</v>
      </c>
      <c r="C60" s="3" t="str">
        <f>"朱承昊"</f>
        <v>朱承昊</v>
      </c>
      <c r="D60" s="3" t="str">
        <f>"男"</f>
        <v>男</v>
      </c>
      <c r="E60" s="3" t="str">
        <f>"2507010228"</f>
        <v>2507010228</v>
      </c>
      <c r="F60" s="3" t="str">
        <f t="shared" si="3"/>
        <v>02</v>
      </c>
      <c r="G60" s="4" t="str">
        <f>"28"</f>
        <v>28</v>
      </c>
      <c r="H60" s="5">
        <v>71.5</v>
      </c>
      <c r="I60" s="3"/>
    </row>
    <row r="61" customHeight="1" spans="1:9">
      <c r="A61" s="3" t="str">
        <f t="shared" si="0"/>
        <v>0102</v>
      </c>
      <c r="B61" s="3" t="s">
        <v>10</v>
      </c>
      <c r="C61" s="3" t="str">
        <f>"张敏"</f>
        <v>张敏</v>
      </c>
      <c r="D61" s="3" t="str">
        <f t="shared" ref="D61:D111" si="4">"女"</f>
        <v>女</v>
      </c>
      <c r="E61" s="3" t="str">
        <f>"2507010229"</f>
        <v>2507010229</v>
      </c>
      <c r="F61" s="3" t="str">
        <f t="shared" si="3"/>
        <v>02</v>
      </c>
      <c r="G61" s="4" t="str">
        <f>"29"</f>
        <v>29</v>
      </c>
      <c r="H61" s="5">
        <v>0</v>
      </c>
      <c r="I61" s="3" t="s">
        <v>11</v>
      </c>
    </row>
    <row r="62" customHeight="1" spans="1:9">
      <c r="A62" s="3" t="str">
        <f t="shared" si="0"/>
        <v>0102</v>
      </c>
      <c r="B62" s="3" t="s">
        <v>10</v>
      </c>
      <c r="C62" s="3" t="str">
        <f>"黄灿"</f>
        <v>黄灿</v>
      </c>
      <c r="D62" s="3" t="str">
        <f t="shared" si="4"/>
        <v>女</v>
      </c>
      <c r="E62" s="3" t="str">
        <f>"2507010230"</f>
        <v>2507010230</v>
      </c>
      <c r="F62" s="3" t="str">
        <f t="shared" si="3"/>
        <v>02</v>
      </c>
      <c r="G62" s="4" t="str">
        <f>"30"</f>
        <v>30</v>
      </c>
      <c r="H62" s="5">
        <v>71</v>
      </c>
      <c r="I62" s="3"/>
    </row>
    <row r="63" customHeight="1" spans="1:9">
      <c r="A63" s="3" t="str">
        <f t="shared" si="0"/>
        <v>0102</v>
      </c>
      <c r="B63" s="3" t="s">
        <v>10</v>
      </c>
      <c r="C63" s="3" t="str">
        <f>"张亚男"</f>
        <v>张亚男</v>
      </c>
      <c r="D63" s="3" t="str">
        <f t="shared" si="4"/>
        <v>女</v>
      </c>
      <c r="E63" s="3" t="str">
        <f>"2507010301"</f>
        <v>2507010301</v>
      </c>
      <c r="F63" s="3" t="str">
        <f t="shared" ref="F63:F92" si="5">"03"</f>
        <v>03</v>
      </c>
      <c r="G63" s="4" t="str">
        <f>"01"</f>
        <v>01</v>
      </c>
      <c r="H63" s="5">
        <v>74.5</v>
      </c>
      <c r="I63" s="3"/>
    </row>
    <row r="64" customHeight="1" spans="1:9">
      <c r="A64" s="3" t="str">
        <f t="shared" si="0"/>
        <v>0102</v>
      </c>
      <c r="B64" s="3" t="s">
        <v>10</v>
      </c>
      <c r="C64" s="3" t="str">
        <f>"蒋冉"</f>
        <v>蒋冉</v>
      </c>
      <c r="D64" s="3" t="str">
        <f t="shared" si="4"/>
        <v>女</v>
      </c>
      <c r="E64" s="3" t="str">
        <f>"2507010302"</f>
        <v>2507010302</v>
      </c>
      <c r="F64" s="3" t="str">
        <f t="shared" si="5"/>
        <v>03</v>
      </c>
      <c r="G64" s="4" t="str">
        <f>"02"</f>
        <v>02</v>
      </c>
      <c r="H64" s="5">
        <v>64</v>
      </c>
      <c r="I64" s="3"/>
    </row>
    <row r="65" customHeight="1" spans="1:9">
      <c r="A65" s="3" t="str">
        <f t="shared" si="0"/>
        <v>0102</v>
      </c>
      <c r="B65" s="3" t="s">
        <v>10</v>
      </c>
      <c r="C65" s="3" t="str">
        <f>"李艳明"</f>
        <v>李艳明</v>
      </c>
      <c r="D65" s="3" t="str">
        <f t="shared" si="4"/>
        <v>女</v>
      </c>
      <c r="E65" s="3" t="str">
        <f>"2507010303"</f>
        <v>2507010303</v>
      </c>
      <c r="F65" s="3" t="str">
        <f t="shared" si="5"/>
        <v>03</v>
      </c>
      <c r="G65" s="4" t="str">
        <f>"03"</f>
        <v>03</v>
      </c>
      <c r="H65" s="5">
        <v>0</v>
      </c>
      <c r="I65" s="3" t="s">
        <v>11</v>
      </c>
    </row>
    <row r="66" customHeight="1" spans="1:9">
      <c r="A66" s="3" t="str">
        <f t="shared" si="0"/>
        <v>0102</v>
      </c>
      <c r="B66" s="3" t="s">
        <v>10</v>
      </c>
      <c r="C66" s="3" t="str">
        <f>"卢娜"</f>
        <v>卢娜</v>
      </c>
      <c r="D66" s="3" t="str">
        <f t="shared" si="4"/>
        <v>女</v>
      </c>
      <c r="E66" s="3" t="str">
        <f>"2507010304"</f>
        <v>2507010304</v>
      </c>
      <c r="F66" s="3" t="str">
        <f t="shared" si="5"/>
        <v>03</v>
      </c>
      <c r="G66" s="4" t="str">
        <f>"04"</f>
        <v>04</v>
      </c>
      <c r="H66" s="5">
        <v>69.5</v>
      </c>
      <c r="I66" s="3"/>
    </row>
    <row r="67" customHeight="1" spans="1:9">
      <c r="A67" s="3" t="str">
        <f t="shared" ref="A67:A130" si="6">"0102"</f>
        <v>0102</v>
      </c>
      <c r="B67" s="3" t="s">
        <v>10</v>
      </c>
      <c r="C67" s="3" t="str">
        <f>"陈晴晴"</f>
        <v>陈晴晴</v>
      </c>
      <c r="D67" s="3" t="str">
        <f t="shared" si="4"/>
        <v>女</v>
      </c>
      <c r="E67" s="3" t="str">
        <f>"2507010305"</f>
        <v>2507010305</v>
      </c>
      <c r="F67" s="3" t="str">
        <f t="shared" si="5"/>
        <v>03</v>
      </c>
      <c r="G67" s="4" t="str">
        <f>"05"</f>
        <v>05</v>
      </c>
      <c r="H67" s="5">
        <v>70.5</v>
      </c>
      <c r="I67" s="3"/>
    </row>
    <row r="68" customHeight="1" spans="1:9">
      <c r="A68" s="3" t="str">
        <f t="shared" si="6"/>
        <v>0102</v>
      </c>
      <c r="B68" s="3" t="s">
        <v>10</v>
      </c>
      <c r="C68" s="3" t="str">
        <f>"范培培"</f>
        <v>范培培</v>
      </c>
      <c r="D68" s="3" t="str">
        <f t="shared" si="4"/>
        <v>女</v>
      </c>
      <c r="E68" s="3" t="str">
        <f>"2507010306"</f>
        <v>2507010306</v>
      </c>
      <c r="F68" s="3" t="str">
        <f t="shared" si="5"/>
        <v>03</v>
      </c>
      <c r="G68" s="4" t="str">
        <f>"06"</f>
        <v>06</v>
      </c>
      <c r="H68" s="5">
        <v>74</v>
      </c>
      <c r="I68" s="3"/>
    </row>
    <row r="69" customHeight="1" spans="1:9">
      <c r="A69" s="3" t="str">
        <f t="shared" si="6"/>
        <v>0102</v>
      </c>
      <c r="B69" s="3" t="s">
        <v>10</v>
      </c>
      <c r="C69" s="3" t="str">
        <f>"孟庆雯"</f>
        <v>孟庆雯</v>
      </c>
      <c r="D69" s="3" t="str">
        <f t="shared" si="4"/>
        <v>女</v>
      </c>
      <c r="E69" s="3" t="str">
        <f>"2507010307"</f>
        <v>2507010307</v>
      </c>
      <c r="F69" s="3" t="str">
        <f t="shared" si="5"/>
        <v>03</v>
      </c>
      <c r="G69" s="4" t="str">
        <f>"07"</f>
        <v>07</v>
      </c>
      <c r="H69" s="5">
        <v>78.5</v>
      </c>
      <c r="I69" s="3"/>
    </row>
    <row r="70" customHeight="1" spans="1:9">
      <c r="A70" s="3" t="str">
        <f t="shared" si="6"/>
        <v>0102</v>
      </c>
      <c r="B70" s="3" t="s">
        <v>10</v>
      </c>
      <c r="C70" s="3" t="str">
        <f>"曹方圆"</f>
        <v>曹方圆</v>
      </c>
      <c r="D70" s="3" t="str">
        <f t="shared" si="4"/>
        <v>女</v>
      </c>
      <c r="E70" s="3" t="str">
        <f>"2507010308"</f>
        <v>2507010308</v>
      </c>
      <c r="F70" s="3" t="str">
        <f t="shared" si="5"/>
        <v>03</v>
      </c>
      <c r="G70" s="4" t="str">
        <f>"08"</f>
        <v>08</v>
      </c>
      <c r="H70" s="5">
        <v>77</v>
      </c>
      <c r="I70" s="3"/>
    </row>
    <row r="71" customHeight="1" spans="1:9">
      <c r="A71" s="3" t="str">
        <f t="shared" si="6"/>
        <v>0102</v>
      </c>
      <c r="B71" s="3" t="s">
        <v>10</v>
      </c>
      <c r="C71" s="3" t="str">
        <f>"顾月圆"</f>
        <v>顾月圆</v>
      </c>
      <c r="D71" s="3" t="str">
        <f t="shared" si="4"/>
        <v>女</v>
      </c>
      <c r="E71" s="3" t="str">
        <f>"2507010309"</f>
        <v>2507010309</v>
      </c>
      <c r="F71" s="3" t="str">
        <f t="shared" si="5"/>
        <v>03</v>
      </c>
      <c r="G71" s="4" t="str">
        <f>"09"</f>
        <v>09</v>
      </c>
      <c r="H71" s="5">
        <v>0</v>
      </c>
      <c r="I71" s="3" t="s">
        <v>11</v>
      </c>
    </row>
    <row r="72" customHeight="1" spans="1:9">
      <c r="A72" s="3" t="str">
        <f t="shared" si="6"/>
        <v>0102</v>
      </c>
      <c r="B72" s="3" t="s">
        <v>10</v>
      </c>
      <c r="C72" s="3" t="str">
        <f>"张敏"</f>
        <v>张敏</v>
      </c>
      <c r="D72" s="3" t="str">
        <f t="shared" si="4"/>
        <v>女</v>
      </c>
      <c r="E72" s="3" t="str">
        <f>"2507010310"</f>
        <v>2507010310</v>
      </c>
      <c r="F72" s="3" t="str">
        <f t="shared" si="5"/>
        <v>03</v>
      </c>
      <c r="G72" s="4" t="str">
        <f>"10"</f>
        <v>10</v>
      </c>
      <c r="H72" s="5">
        <v>75</v>
      </c>
      <c r="I72" s="3"/>
    </row>
    <row r="73" customHeight="1" spans="1:9">
      <c r="A73" s="3" t="str">
        <f t="shared" si="6"/>
        <v>0102</v>
      </c>
      <c r="B73" s="3" t="s">
        <v>10</v>
      </c>
      <c r="C73" s="3" t="str">
        <f>"李秋玉"</f>
        <v>李秋玉</v>
      </c>
      <c r="D73" s="3" t="str">
        <f t="shared" si="4"/>
        <v>女</v>
      </c>
      <c r="E73" s="3" t="str">
        <f>"2507010311"</f>
        <v>2507010311</v>
      </c>
      <c r="F73" s="3" t="str">
        <f t="shared" si="5"/>
        <v>03</v>
      </c>
      <c r="G73" s="4" t="str">
        <f>"11"</f>
        <v>11</v>
      </c>
      <c r="H73" s="5">
        <v>0</v>
      </c>
      <c r="I73" s="3" t="s">
        <v>11</v>
      </c>
    </row>
    <row r="74" customHeight="1" spans="1:9">
      <c r="A74" s="3" t="str">
        <f t="shared" si="6"/>
        <v>0102</v>
      </c>
      <c r="B74" s="3" t="s">
        <v>10</v>
      </c>
      <c r="C74" s="3" t="str">
        <f>"胡馨月"</f>
        <v>胡馨月</v>
      </c>
      <c r="D74" s="3" t="str">
        <f t="shared" si="4"/>
        <v>女</v>
      </c>
      <c r="E74" s="3" t="str">
        <f>"2507010312"</f>
        <v>2507010312</v>
      </c>
      <c r="F74" s="3" t="str">
        <f t="shared" si="5"/>
        <v>03</v>
      </c>
      <c r="G74" s="4" t="str">
        <f>"12"</f>
        <v>12</v>
      </c>
      <c r="H74" s="5">
        <v>70.5</v>
      </c>
      <c r="I74" s="3"/>
    </row>
    <row r="75" customHeight="1" spans="1:9">
      <c r="A75" s="3" t="str">
        <f t="shared" si="6"/>
        <v>0102</v>
      </c>
      <c r="B75" s="3" t="s">
        <v>10</v>
      </c>
      <c r="C75" s="3" t="str">
        <f>"拾迪迪"</f>
        <v>拾迪迪</v>
      </c>
      <c r="D75" s="3" t="str">
        <f t="shared" si="4"/>
        <v>女</v>
      </c>
      <c r="E75" s="3" t="str">
        <f>"2507010313"</f>
        <v>2507010313</v>
      </c>
      <c r="F75" s="3" t="str">
        <f t="shared" si="5"/>
        <v>03</v>
      </c>
      <c r="G75" s="4" t="str">
        <f>"13"</f>
        <v>13</v>
      </c>
      <c r="H75" s="5">
        <v>72</v>
      </c>
      <c r="I75" s="3"/>
    </row>
    <row r="76" customHeight="1" spans="1:9">
      <c r="A76" s="3" t="str">
        <f t="shared" si="6"/>
        <v>0102</v>
      </c>
      <c r="B76" s="3" t="s">
        <v>10</v>
      </c>
      <c r="C76" s="3" t="str">
        <f>"徐文静"</f>
        <v>徐文静</v>
      </c>
      <c r="D76" s="3" t="str">
        <f t="shared" si="4"/>
        <v>女</v>
      </c>
      <c r="E76" s="3" t="str">
        <f>"2507010314"</f>
        <v>2507010314</v>
      </c>
      <c r="F76" s="3" t="str">
        <f t="shared" si="5"/>
        <v>03</v>
      </c>
      <c r="G76" s="4" t="str">
        <f>"14"</f>
        <v>14</v>
      </c>
      <c r="H76" s="5">
        <v>0</v>
      </c>
      <c r="I76" s="3" t="s">
        <v>11</v>
      </c>
    </row>
    <row r="77" customHeight="1" spans="1:9">
      <c r="A77" s="3" t="str">
        <f t="shared" si="6"/>
        <v>0102</v>
      </c>
      <c r="B77" s="3" t="s">
        <v>10</v>
      </c>
      <c r="C77" s="3" t="str">
        <f>"姜明明"</f>
        <v>姜明明</v>
      </c>
      <c r="D77" s="3" t="str">
        <f t="shared" si="4"/>
        <v>女</v>
      </c>
      <c r="E77" s="3" t="str">
        <f>"2507010315"</f>
        <v>2507010315</v>
      </c>
      <c r="F77" s="3" t="str">
        <f t="shared" si="5"/>
        <v>03</v>
      </c>
      <c r="G77" s="4" t="str">
        <f>"15"</f>
        <v>15</v>
      </c>
      <c r="H77" s="5">
        <v>0</v>
      </c>
      <c r="I77" s="3" t="s">
        <v>11</v>
      </c>
    </row>
    <row r="78" customHeight="1" spans="1:9">
      <c r="A78" s="3" t="str">
        <f t="shared" si="6"/>
        <v>0102</v>
      </c>
      <c r="B78" s="3" t="s">
        <v>10</v>
      </c>
      <c r="C78" s="3" t="str">
        <f>"刘姝"</f>
        <v>刘姝</v>
      </c>
      <c r="D78" s="3" t="str">
        <f t="shared" si="4"/>
        <v>女</v>
      </c>
      <c r="E78" s="3" t="str">
        <f>"2507010316"</f>
        <v>2507010316</v>
      </c>
      <c r="F78" s="3" t="str">
        <f t="shared" si="5"/>
        <v>03</v>
      </c>
      <c r="G78" s="4" t="str">
        <f>"16"</f>
        <v>16</v>
      </c>
      <c r="H78" s="5">
        <v>0</v>
      </c>
      <c r="I78" s="3" t="s">
        <v>11</v>
      </c>
    </row>
    <row r="79" customHeight="1" spans="1:9">
      <c r="A79" s="3" t="str">
        <f t="shared" si="6"/>
        <v>0102</v>
      </c>
      <c r="B79" s="3" t="s">
        <v>10</v>
      </c>
      <c r="C79" s="3" t="str">
        <f>"刘瑞"</f>
        <v>刘瑞</v>
      </c>
      <c r="D79" s="3" t="str">
        <f t="shared" si="4"/>
        <v>女</v>
      </c>
      <c r="E79" s="3" t="str">
        <f>"2507010317"</f>
        <v>2507010317</v>
      </c>
      <c r="F79" s="3" t="str">
        <f t="shared" si="5"/>
        <v>03</v>
      </c>
      <c r="G79" s="4" t="str">
        <f>"17"</f>
        <v>17</v>
      </c>
      <c r="H79" s="5">
        <v>0</v>
      </c>
      <c r="I79" s="3" t="s">
        <v>11</v>
      </c>
    </row>
    <row r="80" customHeight="1" spans="1:9">
      <c r="A80" s="3" t="str">
        <f t="shared" si="6"/>
        <v>0102</v>
      </c>
      <c r="B80" s="3" t="s">
        <v>10</v>
      </c>
      <c r="C80" s="3" t="str">
        <f>"黄成梓"</f>
        <v>黄成梓</v>
      </c>
      <c r="D80" s="3" t="str">
        <f t="shared" si="4"/>
        <v>女</v>
      </c>
      <c r="E80" s="3" t="str">
        <f>"2507010318"</f>
        <v>2507010318</v>
      </c>
      <c r="F80" s="3" t="str">
        <f t="shared" si="5"/>
        <v>03</v>
      </c>
      <c r="G80" s="4" t="str">
        <f>"18"</f>
        <v>18</v>
      </c>
      <c r="H80" s="5">
        <v>69</v>
      </c>
      <c r="I80" s="3"/>
    </row>
    <row r="81" customHeight="1" spans="1:9">
      <c r="A81" s="3" t="str">
        <f t="shared" si="6"/>
        <v>0102</v>
      </c>
      <c r="B81" s="3" t="s">
        <v>10</v>
      </c>
      <c r="C81" s="3" t="str">
        <f>"许雅雯"</f>
        <v>许雅雯</v>
      </c>
      <c r="D81" s="3" t="str">
        <f t="shared" si="4"/>
        <v>女</v>
      </c>
      <c r="E81" s="3" t="str">
        <f>"2507010319"</f>
        <v>2507010319</v>
      </c>
      <c r="F81" s="3" t="str">
        <f t="shared" si="5"/>
        <v>03</v>
      </c>
      <c r="G81" s="4" t="str">
        <f>"19"</f>
        <v>19</v>
      </c>
      <c r="H81" s="5">
        <v>70.5</v>
      </c>
      <c r="I81" s="3"/>
    </row>
    <row r="82" customHeight="1" spans="1:9">
      <c r="A82" s="3" t="str">
        <f t="shared" si="6"/>
        <v>0102</v>
      </c>
      <c r="B82" s="3" t="s">
        <v>10</v>
      </c>
      <c r="C82" s="3" t="str">
        <f>"肖铭"</f>
        <v>肖铭</v>
      </c>
      <c r="D82" s="3" t="str">
        <f t="shared" si="4"/>
        <v>女</v>
      </c>
      <c r="E82" s="3" t="str">
        <f>"2507010320"</f>
        <v>2507010320</v>
      </c>
      <c r="F82" s="3" t="str">
        <f t="shared" si="5"/>
        <v>03</v>
      </c>
      <c r="G82" s="4" t="str">
        <f>"20"</f>
        <v>20</v>
      </c>
      <c r="H82" s="5">
        <v>71</v>
      </c>
      <c r="I82" s="3"/>
    </row>
    <row r="83" customHeight="1" spans="1:9">
      <c r="A83" s="3" t="str">
        <f t="shared" si="6"/>
        <v>0102</v>
      </c>
      <c r="B83" s="3" t="s">
        <v>10</v>
      </c>
      <c r="C83" s="3" t="str">
        <f>"陈荣"</f>
        <v>陈荣</v>
      </c>
      <c r="D83" s="3" t="str">
        <f t="shared" si="4"/>
        <v>女</v>
      </c>
      <c r="E83" s="3" t="str">
        <f>"2507010321"</f>
        <v>2507010321</v>
      </c>
      <c r="F83" s="3" t="str">
        <f t="shared" si="5"/>
        <v>03</v>
      </c>
      <c r="G83" s="4" t="str">
        <f>"21"</f>
        <v>21</v>
      </c>
      <c r="H83" s="5">
        <v>0</v>
      </c>
      <c r="I83" s="3" t="s">
        <v>11</v>
      </c>
    </row>
    <row r="84" customHeight="1" spans="1:9">
      <c r="A84" s="3" t="str">
        <f t="shared" si="6"/>
        <v>0102</v>
      </c>
      <c r="B84" s="3" t="s">
        <v>10</v>
      </c>
      <c r="C84" s="3" t="str">
        <f>"王宁"</f>
        <v>王宁</v>
      </c>
      <c r="D84" s="3" t="str">
        <f t="shared" si="4"/>
        <v>女</v>
      </c>
      <c r="E84" s="3" t="str">
        <f>"2507010322"</f>
        <v>2507010322</v>
      </c>
      <c r="F84" s="3" t="str">
        <f t="shared" si="5"/>
        <v>03</v>
      </c>
      <c r="G84" s="4" t="str">
        <f>"22"</f>
        <v>22</v>
      </c>
      <c r="H84" s="5">
        <v>57.5</v>
      </c>
      <c r="I84" s="3"/>
    </row>
    <row r="85" customHeight="1" spans="1:9">
      <c r="A85" s="3" t="str">
        <f t="shared" si="6"/>
        <v>0102</v>
      </c>
      <c r="B85" s="3" t="s">
        <v>10</v>
      </c>
      <c r="C85" s="3" t="str">
        <f>"汪雪"</f>
        <v>汪雪</v>
      </c>
      <c r="D85" s="3" t="str">
        <f t="shared" si="4"/>
        <v>女</v>
      </c>
      <c r="E85" s="3" t="str">
        <f>"2507010323"</f>
        <v>2507010323</v>
      </c>
      <c r="F85" s="3" t="str">
        <f t="shared" si="5"/>
        <v>03</v>
      </c>
      <c r="G85" s="4" t="str">
        <f>"23"</f>
        <v>23</v>
      </c>
      <c r="H85" s="5">
        <v>0</v>
      </c>
      <c r="I85" s="3" t="s">
        <v>11</v>
      </c>
    </row>
    <row r="86" customHeight="1" spans="1:9">
      <c r="A86" s="3" t="str">
        <f t="shared" si="6"/>
        <v>0102</v>
      </c>
      <c r="B86" s="3" t="s">
        <v>10</v>
      </c>
      <c r="C86" s="3" t="str">
        <f>"钮雨秋"</f>
        <v>钮雨秋</v>
      </c>
      <c r="D86" s="3" t="str">
        <f t="shared" si="4"/>
        <v>女</v>
      </c>
      <c r="E86" s="3" t="str">
        <f>"2507010324"</f>
        <v>2507010324</v>
      </c>
      <c r="F86" s="3" t="str">
        <f t="shared" si="5"/>
        <v>03</v>
      </c>
      <c r="G86" s="4" t="str">
        <f>"24"</f>
        <v>24</v>
      </c>
      <c r="H86" s="5">
        <v>0</v>
      </c>
      <c r="I86" s="3" t="s">
        <v>11</v>
      </c>
    </row>
    <row r="87" customHeight="1" spans="1:9">
      <c r="A87" s="3" t="str">
        <f t="shared" si="6"/>
        <v>0102</v>
      </c>
      <c r="B87" s="3" t="s">
        <v>10</v>
      </c>
      <c r="C87" s="3" t="str">
        <f>"张小倩"</f>
        <v>张小倩</v>
      </c>
      <c r="D87" s="3" t="str">
        <f t="shared" si="4"/>
        <v>女</v>
      </c>
      <c r="E87" s="3" t="str">
        <f>"2507010325"</f>
        <v>2507010325</v>
      </c>
      <c r="F87" s="3" t="str">
        <f t="shared" si="5"/>
        <v>03</v>
      </c>
      <c r="G87" s="4" t="str">
        <f>"25"</f>
        <v>25</v>
      </c>
      <c r="H87" s="5">
        <v>0</v>
      </c>
      <c r="I87" s="3" t="s">
        <v>11</v>
      </c>
    </row>
    <row r="88" customHeight="1" spans="1:9">
      <c r="A88" s="3" t="str">
        <f t="shared" si="6"/>
        <v>0102</v>
      </c>
      <c r="B88" s="3" t="s">
        <v>10</v>
      </c>
      <c r="C88" s="3" t="str">
        <f>"刘静"</f>
        <v>刘静</v>
      </c>
      <c r="D88" s="3" t="str">
        <f t="shared" si="4"/>
        <v>女</v>
      </c>
      <c r="E88" s="3" t="str">
        <f>"2507010326"</f>
        <v>2507010326</v>
      </c>
      <c r="F88" s="3" t="str">
        <f t="shared" si="5"/>
        <v>03</v>
      </c>
      <c r="G88" s="4" t="str">
        <f>"26"</f>
        <v>26</v>
      </c>
      <c r="H88" s="5">
        <v>79</v>
      </c>
      <c r="I88" s="3"/>
    </row>
    <row r="89" customHeight="1" spans="1:9">
      <c r="A89" s="3" t="str">
        <f t="shared" si="6"/>
        <v>0102</v>
      </c>
      <c r="B89" s="3" t="s">
        <v>10</v>
      </c>
      <c r="C89" s="3" t="str">
        <f>"朱娇"</f>
        <v>朱娇</v>
      </c>
      <c r="D89" s="3" t="str">
        <f t="shared" si="4"/>
        <v>女</v>
      </c>
      <c r="E89" s="3" t="str">
        <f>"2507010327"</f>
        <v>2507010327</v>
      </c>
      <c r="F89" s="3" t="str">
        <f t="shared" si="5"/>
        <v>03</v>
      </c>
      <c r="G89" s="4" t="str">
        <f>"27"</f>
        <v>27</v>
      </c>
      <c r="H89" s="5">
        <v>71.5</v>
      </c>
      <c r="I89" s="3"/>
    </row>
    <row r="90" customHeight="1" spans="1:9">
      <c r="A90" s="3" t="str">
        <f t="shared" si="6"/>
        <v>0102</v>
      </c>
      <c r="B90" s="3" t="s">
        <v>10</v>
      </c>
      <c r="C90" s="3" t="str">
        <f>"胡雅文"</f>
        <v>胡雅文</v>
      </c>
      <c r="D90" s="3" t="str">
        <f t="shared" si="4"/>
        <v>女</v>
      </c>
      <c r="E90" s="3" t="str">
        <f>"2507010328"</f>
        <v>2507010328</v>
      </c>
      <c r="F90" s="3" t="str">
        <f t="shared" si="5"/>
        <v>03</v>
      </c>
      <c r="G90" s="4" t="str">
        <f>"28"</f>
        <v>28</v>
      </c>
      <c r="H90" s="5">
        <v>0</v>
      </c>
      <c r="I90" s="3" t="s">
        <v>11</v>
      </c>
    </row>
    <row r="91" customHeight="1" spans="1:9">
      <c r="A91" s="3" t="str">
        <f t="shared" si="6"/>
        <v>0102</v>
      </c>
      <c r="B91" s="3" t="s">
        <v>10</v>
      </c>
      <c r="C91" s="3" t="str">
        <f>"安楠"</f>
        <v>安楠</v>
      </c>
      <c r="D91" s="3" t="str">
        <f t="shared" si="4"/>
        <v>女</v>
      </c>
      <c r="E91" s="3" t="str">
        <f>"2507010329"</f>
        <v>2507010329</v>
      </c>
      <c r="F91" s="3" t="str">
        <f t="shared" si="5"/>
        <v>03</v>
      </c>
      <c r="G91" s="4" t="str">
        <f>"29"</f>
        <v>29</v>
      </c>
      <c r="H91" s="5">
        <v>76</v>
      </c>
      <c r="I91" s="3"/>
    </row>
    <row r="92" customHeight="1" spans="1:9">
      <c r="A92" s="3" t="str">
        <f t="shared" si="6"/>
        <v>0102</v>
      </c>
      <c r="B92" s="3" t="s">
        <v>10</v>
      </c>
      <c r="C92" s="3" t="str">
        <f>"王小菁"</f>
        <v>王小菁</v>
      </c>
      <c r="D92" s="3" t="str">
        <f t="shared" si="4"/>
        <v>女</v>
      </c>
      <c r="E92" s="3" t="str">
        <f>"2507010330"</f>
        <v>2507010330</v>
      </c>
      <c r="F92" s="3" t="str">
        <f t="shared" si="5"/>
        <v>03</v>
      </c>
      <c r="G92" s="4" t="str">
        <f>"30"</f>
        <v>30</v>
      </c>
      <c r="H92" s="5">
        <v>77</v>
      </c>
      <c r="I92" s="3"/>
    </row>
    <row r="93" customHeight="1" spans="1:9">
      <c r="A93" s="3" t="str">
        <f t="shared" si="6"/>
        <v>0102</v>
      </c>
      <c r="B93" s="3" t="s">
        <v>10</v>
      </c>
      <c r="C93" s="3" t="str">
        <f>"孙梦迪"</f>
        <v>孙梦迪</v>
      </c>
      <c r="D93" s="3" t="str">
        <f t="shared" si="4"/>
        <v>女</v>
      </c>
      <c r="E93" s="3" t="str">
        <f>"2507010401"</f>
        <v>2507010401</v>
      </c>
      <c r="F93" s="3" t="str">
        <f t="shared" ref="F93:F122" si="7">"04"</f>
        <v>04</v>
      </c>
      <c r="G93" s="4" t="str">
        <f>"01"</f>
        <v>01</v>
      </c>
      <c r="H93" s="5">
        <v>79</v>
      </c>
      <c r="I93" s="3"/>
    </row>
    <row r="94" customHeight="1" spans="1:9">
      <c r="A94" s="3" t="str">
        <f t="shared" si="6"/>
        <v>0102</v>
      </c>
      <c r="B94" s="3" t="s">
        <v>10</v>
      </c>
      <c r="C94" s="3" t="str">
        <f>"王倩雯"</f>
        <v>王倩雯</v>
      </c>
      <c r="D94" s="3" t="str">
        <f t="shared" si="4"/>
        <v>女</v>
      </c>
      <c r="E94" s="3" t="str">
        <f>"2507010402"</f>
        <v>2507010402</v>
      </c>
      <c r="F94" s="3" t="str">
        <f t="shared" si="7"/>
        <v>04</v>
      </c>
      <c r="G94" s="4" t="str">
        <f>"02"</f>
        <v>02</v>
      </c>
      <c r="H94" s="5">
        <v>73.5</v>
      </c>
      <c r="I94" s="3"/>
    </row>
    <row r="95" customHeight="1" spans="1:9">
      <c r="A95" s="3" t="str">
        <f t="shared" si="6"/>
        <v>0102</v>
      </c>
      <c r="B95" s="3" t="s">
        <v>10</v>
      </c>
      <c r="C95" s="3" t="str">
        <f>"张曼"</f>
        <v>张曼</v>
      </c>
      <c r="D95" s="3" t="str">
        <f t="shared" si="4"/>
        <v>女</v>
      </c>
      <c r="E95" s="3" t="str">
        <f>"2507010403"</f>
        <v>2507010403</v>
      </c>
      <c r="F95" s="3" t="str">
        <f t="shared" si="7"/>
        <v>04</v>
      </c>
      <c r="G95" s="4" t="str">
        <f>"03"</f>
        <v>03</v>
      </c>
      <c r="H95" s="5">
        <v>0</v>
      </c>
      <c r="I95" s="3" t="s">
        <v>11</v>
      </c>
    </row>
    <row r="96" customHeight="1" spans="1:9">
      <c r="A96" s="3" t="str">
        <f t="shared" si="6"/>
        <v>0102</v>
      </c>
      <c r="B96" s="3" t="s">
        <v>10</v>
      </c>
      <c r="C96" s="3" t="str">
        <f>"王慧慧"</f>
        <v>王慧慧</v>
      </c>
      <c r="D96" s="3" t="str">
        <f t="shared" si="4"/>
        <v>女</v>
      </c>
      <c r="E96" s="3" t="str">
        <f>"2507010404"</f>
        <v>2507010404</v>
      </c>
      <c r="F96" s="3" t="str">
        <f t="shared" si="7"/>
        <v>04</v>
      </c>
      <c r="G96" s="4" t="str">
        <f>"04"</f>
        <v>04</v>
      </c>
      <c r="H96" s="5">
        <v>0</v>
      </c>
      <c r="I96" s="3" t="s">
        <v>11</v>
      </c>
    </row>
    <row r="97" customHeight="1" spans="1:9">
      <c r="A97" s="3" t="str">
        <f t="shared" si="6"/>
        <v>0102</v>
      </c>
      <c r="B97" s="3" t="s">
        <v>10</v>
      </c>
      <c r="C97" s="3" t="str">
        <f>"王硕"</f>
        <v>王硕</v>
      </c>
      <c r="D97" s="3" t="str">
        <f t="shared" si="4"/>
        <v>女</v>
      </c>
      <c r="E97" s="3" t="str">
        <f>"2507010405"</f>
        <v>2507010405</v>
      </c>
      <c r="F97" s="3" t="str">
        <f t="shared" si="7"/>
        <v>04</v>
      </c>
      <c r="G97" s="4" t="str">
        <f>"05"</f>
        <v>05</v>
      </c>
      <c r="H97" s="5">
        <v>80.5</v>
      </c>
      <c r="I97" s="3"/>
    </row>
    <row r="98" customHeight="1" spans="1:9">
      <c r="A98" s="3" t="str">
        <f t="shared" si="6"/>
        <v>0102</v>
      </c>
      <c r="B98" s="3" t="s">
        <v>10</v>
      </c>
      <c r="C98" s="3" t="str">
        <f>"王月榕"</f>
        <v>王月榕</v>
      </c>
      <c r="D98" s="3" t="str">
        <f t="shared" si="4"/>
        <v>女</v>
      </c>
      <c r="E98" s="3" t="str">
        <f>"2507010406"</f>
        <v>2507010406</v>
      </c>
      <c r="F98" s="3" t="str">
        <f t="shared" si="7"/>
        <v>04</v>
      </c>
      <c r="G98" s="4" t="str">
        <f>"06"</f>
        <v>06</v>
      </c>
      <c r="H98" s="5">
        <v>0</v>
      </c>
      <c r="I98" s="3" t="s">
        <v>11</v>
      </c>
    </row>
    <row r="99" customHeight="1" spans="1:9">
      <c r="A99" s="3" t="str">
        <f t="shared" si="6"/>
        <v>0102</v>
      </c>
      <c r="B99" s="3" t="s">
        <v>10</v>
      </c>
      <c r="C99" s="3" t="str">
        <f>"孙玉婷"</f>
        <v>孙玉婷</v>
      </c>
      <c r="D99" s="3" t="str">
        <f t="shared" si="4"/>
        <v>女</v>
      </c>
      <c r="E99" s="3" t="str">
        <f>"2507010407"</f>
        <v>2507010407</v>
      </c>
      <c r="F99" s="3" t="str">
        <f t="shared" si="7"/>
        <v>04</v>
      </c>
      <c r="G99" s="4" t="str">
        <f>"07"</f>
        <v>07</v>
      </c>
      <c r="H99" s="5">
        <v>64</v>
      </c>
      <c r="I99" s="3"/>
    </row>
    <row r="100" customHeight="1" spans="1:9">
      <c r="A100" s="3" t="str">
        <f t="shared" si="6"/>
        <v>0102</v>
      </c>
      <c r="B100" s="3" t="s">
        <v>10</v>
      </c>
      <c r="C100" s="3" t="str">
        <f>"张靖敏"</f>
        <v>张靖敏</v>
      </c>
      <c r="D100" s="3" t="str">
        <f t="shared" si="4"/>
        <v>女</v>
      </c>
      <c r="E100" s="3" t="str">
        <f>"2507010408"</f>
        <v>2507010408</v>
      </c>
      <c r="F100" s="3" t="str">
        <f t="shared" si="7"/>
        <v>04</v>
      </c>
      <c r="G100" s="4" t="str">
        <f>"08"</f>
        <v>08</v>
      </c>
      <c r="H100" s="5">
        <v>74.5</v>
      </c>
      <c r="I100" s="3"/>
    </row>
    <row r="101" customHeight="1" spans="1:9">
      <c r="A101" s="3" t="str">
        <f t="shared" si="6"/>
        <v>0102</v>
      </c>
      <c r="B101" s="3" t="s">
        <v>10</v>
      </c>
      <c r="C101" s="3" t="str">
        <f>"刘慧敏"</f>
        <v>刘慧敏</v>
      </c>
      <c r="D101" s="3" t="str">
        <f t="shared" si="4"/>
        <v>女</v>
      </c>
      <c r="E101" s="3" t="str">
        <f>"2507010409"</f>
        <v>2507010409</v>
      </c>
      <c r="F101" s="3" t="str">
        <f t="shared" si="7"/>
        <v>04</v>
      </c>
      <c r="G101" s="4" t="str">
        <f>"09"</f>
        <v>09</v>
      </c>
      <c r="H101" s="5">
        <v>0</v>
      </c>
      <c r="I101" s="3" t="s">
        <v>11</v>
      </c>
    </row>
    <row r="102" customHeight="1" spans="1:9">
      <c r="A102" s="3" t="str">
        <f t="shared" si="6"/>
        <v>0102</v>
      </c>
      <c r="B102" s="3" t="s">
        <v>10</v>
      </c>
      <c r="C102" s="3" t="str">
        <f>"常玉秀"</f>
        <v>常玉秀</v>
      </c>
      <c r="D102" s="3" t="str">
        <f t="shared" si="4"/>
        <v>女</v>
      </c>
      <c r="E102" s="3" t="str">
        <f>"2507010410"</f>
        <v>2507010410</v>
      </c>
      <c r="F102" s="3" t="str">
        <f t="shared" si="7"/>
        <v>04</v>
      </c>
      <c r="G102" s="4" t="str">
        <f>"10"</f>
        <v>10</v>
      </c>
      <c r="H102" s="5">
        <v>75</v>
      </c>
      <c r="I102" s="3"/>
    </row>
    <row r="103" customHeight="1" spans="1:9">
      <c r="A103" s="3" t="str">
        <f t="shared" si="6"/>
        <v>0102</v>
      </c>
      <c r="B103" s="3" t="s">
        <v>10</v>
      </c>
      <c r="C103" s="3" t="str">
        <f>"杨晓慧"</f>
        <v>杨晓慧</v>
      </c>
      <c r="D103" s="3" t="str">
        <f t="shared" si="4"/>
        <v>女</v>
      </c>
      <c r="E103" s="3" t="str">
        <f>"2507010411"</f>
        <v>2507010411</v>
      </c>
      <c r="F103" s="3" t="str">
        <f t="shared" si="7"/>
        <v>04</v>
      </c>
      <c r="G103" s="4" t="str">
        <f>"11"</f>
        <v>11</v>
      </c>
      <c r="H103" s="5">
        <v>0</v>
      </c>
      <c r="I103" s="3" t="s">
        <v>11</v>
      </c>
    </row>
    <row r="104" customHeight="1" spans="1:9">
      <c r="A104" s="3" t="str">
        <f t="shared" si="6"/>
        <v>0102</v>
      </c>
      <c r="B104" s="3" t="s">
        <v>10</v>
      </c>
      <c r="C104" s="3" t="str">
        <f>"宋飞扬"</f>
        <v>宋飞扬</v>
      </c>
      <c r="D104" s="3" t="str">
        <f t="shared" si="4"/>
        <v>女</v>
      </c>
      <c r="E104" s="3" t="str">
        <f>"2507010412"</f>
        <v>2507010412</v>
      </c>
      <c r="F104" s="3" t="str">
        <f t="shared" si="7"/>
        <v>04</v>
      </c>
      <c r="G104" s="4" t="str">
        <f>"12"</f>
        <v>12</v>
      </c>
      <c r="H104" s="5">
        <v>80</v>
      </c>
      <c r="I104" s="3"/>
    </row>
    <row r="105" customHeight="1" spans="1:9">
      <c r="A105" s="3" t="str">
        <f t="shared" si="6"/>
        <v>0102</v>
      </c>
      <c r="B105" s="3" t="s">
        <v>10</v>
      </c>
      <c r="C105" s="3" t="str">
        <f>"杨梦蝶"</f>
        <v>杨梦蝶</v>
      </c>
      <c r="D105" s="3" t="str">
        <f t="shared" si="4"/>
        <v>女</v>
      </c>
      <c r="E105" s="3" t="str">
        <f>"2507010413"</f>
        <v>2507010413</v>
      </c>
      <c r="F105" s="3" t="str">
        <f t="shared" si="7"/>
        <v>04</v>
      </c>
      <c r="G105" s="4" t="str">
        <f>"13"</f>
        <v>13</v>
      </c>
      <c r="H105" s="5">
        <v>78.5</v>
      </c>
      <c r="I105" s="3"/>
    </row>
    <row r="106" customHeight="1" spans="1:9">
      <c r="A106" s="3" t="str">
        <f t="shared" si="6"/>
        <v>0102</v>
      </c>
      <c r="B106" s="3" t="s">
        <v>10</v>
      </c>
      <c r="C106" s="3" t="str">
        <f>"李思蒙"</f>
        <v>李思蒙</v>
      </c>
      <c r="D106" s="3" t="str">
        <f t="shared" si="4"/>
        <v>女</v>
      </c>
      <c r="E106" s="3" t="str">
        <f>"2507010414"</f>
        <v>2507010414</v>
      </c>
      <c r="F106" s="3" t="str">
        <f t="shared" si="7"/>
        <v>04</v>
      </c>
      <c r="G106" s="4" t="str">
        <f>"14"</f>
        <v>14</v>
      </c>
      <c r="H106" s="5">
        <v>0</v>
      </c>
      <c r="I106" s="3" t="s">
        <v>11</v>
      </c>
    </row>
    <row r="107" customHeight="1" spans="1:9">
      <c r="A107" s="3" t="str">
        <f t="shared" si="6"/>
        <v>0102</v>
      </c>
      <c r="B107" s="3" t="s">
        <v>10</v>
      </c>
      <c r="C107" s="3" t="str">
        <f>"丁晨冉"</f>
        <v>丁晨冉</v>
      </c>
      <c r="D107" s="3" t="str">
        <f t="shared" si="4"/>
        <v>女</v>
      </c>
      <c r="E107" s="3" t="str">
        <f>"2507010415"</f>
        <v>2507010415</v>
      </c>
      <c r="F107" s="3" t="str">
        <f t="shared" si="7"/>
        <v>04</v>
      </c>
      <c r="G107" s="4" t="str">
        <f>"15"</f>
        <v>15</v>
      </c>
      <c r="H107" s="5">
        <v>72</v>
      </c>
      <c r="I107" s="3"/>
    </row>
    <row r="108" customHeight="1" spans="1:9">
      <c r="A108" s="3" t="str">
        <f t="shared" si="6"/>
        <v>0102</v>
      </c>
      <c r="B108" s="3" t="s">
        <v>10</v>
      </c>
      <c r="C108" s="3" t="str">
        <f>"张馨月"</f>
        <v>张馨月</v>
      </c>
      <c r="D108" s="3" t="str">
        <f t="shared" si="4"/>
        <v>女</v>
      </c>
      <c r="E108" s="3" t="str">
        <f>"2507010416"</f>
        <v>2507010416</v>
      </c>
      <c r="F108" s="3" t="str">
        <f t="shared" si="7"/>
        <v>04</v>
      </c>
      <c r="G108" s="4" t="str">
        <f>"16"</f>
        <v>16</v>
      </c>
      <c r="H108" s="5">
        <v>61</v>
      </c>
      <c r="I108" s="3"/>
    </row>
    <row r="109" customHeight="1" spans="1:9">
      <c r="A109" s="3" t="str">
        <f t="shared" si="6"/>
        <v>0102</v>
      </c>
      <c r="B109" s="3" t="s">
        <v>10</v>
      </c>
      <c r="C109" s="3" t="str">
        <f>"常萍萍"</f>
        <v>常萍萍</v>
      </c>
      <c r="D109" s="3" t="str">
        <f t="shared" si="4"/>
        <v>女</v>
      </c>
      <c r="E109" s="3" t="str">
        <f>"2507010417"</f>
        <v>2507010417</v>
      </c>
      <c r="F109" s="3" t="str">
        <f t="shared" si="7"/>
        <v>04</v>
      </c>
      <c r="G109" s="4" t="str">
        <f>"17"</f>
        <v>17</v>
      </c>
      <c r="H109" s="5">
        <v>77</v>
      </c>
      <c r="I109" s="3"/>
    </row>
    <row r="110" customHeight="1" spans="1:9">
      <c r="A110" s="3" t="str">
        <f t="shared" si="6"/>
        <v>0102</v>
      </c>
      <c r="B110" s="3" t="s">
        <v>10</v>
      </c>
      <c r="C110" s="3" t="str">
        <f>"宋玉"</f>
        <v>宋玉</v>
      </c>
      <c r="D110" s="3" t="str">
        <f t="shared" si="4"/>
        <v>女</v>
      </c>
      <c r="E110" s="3" t="str">
        <f>"2507010418"</f>
        <v>2507010418</v>
      </c>
      <c r="F110" s="3" t="str">
        <f t="shared" si="7"/>
        <v>04</v>
      </c>
      <c r="G110" s="4" t="str">
        <f>"18"</f>
        <v>18</v>
      </c>
      <c r="H110" s="5">
        <v>75</v>
      </c>
      <c r="I110" s="3"/>
    </row>
    <row r="111" customHeight="1" spans="1:9">
      <c r="A111" s="3" t="str">
        <f t="shared" si="6"/>
        <v>0102</v>
      </c>
      <c r="B111" s="3" t="s">
        <v>10</v>
      </c>
      <c r="C111" s="3" t="str">
        <f>"季禹彤"</f>
        <v>季禹彤</v>
      </c>
      <c r="D111" s="3" t="str">
        <f t="shared" si="4"/>
        <v>女</v>
      </c>
      <c r="E111" s="3" t="str">
        <f>"2507010419"</f>
        <v>2507010419</v>
      </c>
      <c r="F111" s="3" t="str">
        <f t="shared" si="7"/>
        <v>04</v>
      </c>
      <c r="G111" s="4" t="str">
        <f>"19"</f>
        <v>19</v>
      </c>
      <c r="H111" s="5">
        <v>67.5</v>
      </c>
      <c r="I111" s="3"/>
    </row>
    <row r="112" customHeight="1" spans="1:9">
      <c r="A112" s="3" t="str">
        <f t="shared" si="6"/>
        <v>0102</v>
      </c>
      <c r="B112" s="3" t="s">
        <v>10</v>
      </c>
      <c r="C112" s="3" t="str">
        <f>"朱振龙"</f>
        <v>朱振龙</v>
      </c>
      <c r="D112" s="3" t="str">
        <f>"男"</f>
        <v>男</v>
      </c>
      <c r="E112" s="3" t="str">
        <f>"2507010420"</f>
        <v>2507010420</v>
      </c>
      <c r="F112" s="3" t="str">
        <f t="shared" si="7"/>
        <v>04</v>
      </c>
      <c r="G112" s="4" t="str">
        <f>"20"</f>
        <v>20</v>
      </c>
      <c r="H112" s="5">
        <v>69</v>
      </c>
      <c r="I112" s="3"/>
    </row>
    <row r="113" customHeight="1" spans="1:9">
      <c r="A113" s="3" t="str">
        <f t="shared" si="6"/>
        <v>0102</v>
      </c>
      <c r="B113" s="3" t="s">
        <v>10</v>
      </c>
      <c r="C113" s="3" t="str">
        <f>"黄铭杰"</f>
        <v>黄铭杰</v>
      </c>
      <c r="D113" s="3" t="str">
        <f t="shared" ref="D113:D126" si="8">"女"</f>
        <v>女</v>
      </c>
      <c r="E113" s="3" t="str">
        <f>"2507010421"</f>
        <v>2507010421</v>
      </c>
      <c r="F113" s="3" t="str">
        <f t="shared" si="7"/>
        <v>04</v>
      </c>
      <c r="G113" s="4" t="str">
        <f>"21"</f>
        <v>21</v>
      </c>
      <c r="H113" s="5">
        <v>0</v>
      </c>
      <c r="I113" s="3" t="s">
        <v>11</v>
      </c>
    </row>
    <row r="114" customHeight="1" spans="1:9">
      <c r="A114" s="3" t="str">
        <f t="shared" si="6"/>
        <v>0102</v>
      </c>
      <c r="B114" s="3" t="s">
        <v>10</v>
      </c>
      <c r="C114" s="3" t="str">
        <f>"连士瑞"</f>
        <v>连士瑞</v>
      </c>
      <c r="D114" s="3" t="str">
        <f t="shared" si="8"/>
        <v>女</v>
      </c>
      <c r="E114" s="3" t="str">
        <f>"2507010422"</f>
        <v>2507010422</v>
      </c>
      <c r="F114" s="3" t="str">
        <f t="shared" si="7"/>
        <v>04</v>
      </c>
      <c r="G114" s="4" t="str">
        <f>"22"</f>
        <v>22</v>
      </c>
      <c r="H114" s="5">
        <v>79</v>
      </c>
      <c r="I114" s="3"/>
    </row>
    <row r="115" customHeight="1" spans="1:9">
      <c r="A115" s="3" t="str">
        <f t="shared" si="6"/>
        <v>0102</v>
      </c>
      <c r="B115" s="3" t="s">
        <v>10</v>
      </c>
      <c r="C115" s="3" t="str">
        <f>"卓潇潇"</f>
        <v>卓潇潇</v>
      </c>
      <c r="D115" s="3" t="str">
        <f t="shared" si="8"/>
        <v>女</v>
      </c>
      <c r="E115" s="3" t="str">
        <f>"2507010423"</f>
        <v>2507010423</v>
      </c>
      <c r="F115" s="3" t="str">
        <f t="shared" si="7"/>
        <v>04</v>
      </c>
      <c r="G115" s="4" t="str">
        <f>"23"</f>
        <v>23</v>
      </c>
      <c r="H115" s="5">
        <v>72.5</v>
      </c>
      <c r="I115" s="3"/>
    </row>
    <row r="116" customHeight="1" spans="1:9">
      <c r="A116" s="3" t="str">
        <f t="shared" si="6"/>
        <v>0102</v>
      </c>
      <c r="B116" s="3" t="s">
        <v>10</v>
      </c>
      <c r="C116" s="3" t="str">
        <f>"田园"</f>
        <v>田园</v>
      </c>
      <c r="D116" s="3" t="str">
        <f t="shared" si="8"/>
        <v>女</v>
      </c>
      <c r="E116" s="3" t="str">
        <f>"2507010424"</f>
        <v>2507010424</v>
      </c>
      <c r="F116" s="3" t="str">
        <f t="shared" si="7"/>
        <v>04</v>
      </c>
      <c r="G116" s="4" t="str">
        <f>"24"</f>
        <v>24</v>
      </c>
      <c r="H116" s="5">
        <v>70</v>
      </c>
      <c r="I116" s="3"/>
    </row>
    <row r="117" customHeight="1" spans="1:9">
      <c r="A117" s="3" t="str">
        <f t="shared" si="6"/>
        <v>0102</v>
      </c>
      <c r="B117" s="3" t="s">
        <v>10</v>
      </c>
      <c r="C117" s="3" t="str">
        <f>"易娟"</f>
        <v>易娟</v>
      </c>
      <c r="D117" s="3" t="str">
        <f t="shared" si="8"/>
        <v>女</v>
      </c>
      <c r="E117" s="3" t="str">
        <f>"2507010425"</f>
        <v>2507010425</v>
      </c>
      <c r="F117" s="3" t="str">
        <f t="shared" si="7"/>
        <v>04</v>
      </c>
      <c r="G117" s="4" t="str">
        <f>"25"</f>
        <v>25</v>
      </c>
      <c r="H117" s="5">
        <v>0</v>
      </c>
      <c r="I117" s="3" t="s">
        <v>11</v>
      </c>
    </row>
    <row r="118" customHeight="1" spans="1:9">
      <c r="A118" s="3" t="str">
        <f t="shared" si="6"/>
        <v>0102</v>
      </c>
      <c r="B118" s="3" t="s">
        <v>10</v>
      </c>
      <c r="C118" s="3" t="str">
        <f>"仓溢"</f>
        <v>仓溢</v>
      </c>
      <c r="D118" s="3" t="str">
        <f t="shared" si="8"/>
        <v>女</v>
      </c>
      <c r="E118" s="3" t="str">
        <f>"2507010426"</f>
        <v>2507010426</v>
      </c>
      <c r="F118" s="3" t="str">
        <f t="shared" si="7"/>
        <v>04</v>
      </c>
      <c r="G118" s="4" t="str">
        <f>"26"</f>
        <v>26</v>
      </c>
      <c r="H118" s="5">
        <v>75.5</v>
      </c>
      <c r="I118" s="3"/>
    </row>
    <row r="119" customHeight="1" spans="1:9">
      <c r="A119" s="3" t="str">
        <f t="shared" si="6"/>
        <v>0102</v>
      </c>
      <c r="B119" s="3" t="s">
        <v>10</v>
      </c>
      <c r="C119" s="3" t="str">
        <f>"杨康琦"</f>
        <v>杨康琦</v>
      </c>
      <c r="D119" s="3" t="str">
        <f t="shared" si="8"/>
        <v>女</v>
      </c>
      <c r="E119" s="3" t="str">
        <f>"2507010427"</f>
        <v>2507010427</v>
      </c>
      <c r="F119" s="3" t="str">
        <f t="shared" si="7"/>
        <v>04</v>
      </c>
      <c r="G119" s="4" t="str">
        <f>"27"</f>
        <v>27</v>
      </c>
      <c r="H119" s="5">
        <v>69.5</v>
      </c>
      <c r="I119" s="3"/>
    </row>
    <row r="120" customHeight="1" spans="1:9">
      <c r="A120" s="3" t="str">
        <f t="shared" si="6"/>
        <v>0102</v>
      </c>
      <c r="B120" s="3" t="s">
        <v>10</v>
      </c>
      <c r="C120" s="3" t="str">
        <f>"司凯文"</f>
        <v>司凯文</v>
      </c>
      <c r="D120" s="3" t="str">
        <f t="shared" si="8"/>
        <v>女</v>
      </c>
      <c r="E120" s="3" t="str">
        <f>"2507010428"</f>
        <v>2507010428</v>
      </c>
      <c r="F120" s="3" t="str">
        <f t="shared" si="7"/>
        <v>04</v>
      </c>
      <c r="G120" s="4" t="str">
        <f>"28"</f>
        <v>28</v>
      </c>
      <c r="H120" s="5">
        <v>76.5</v>
      </c>
      <c r="I120" s="3"/>
    </row>
    <row r="121" customHeight="1" spans="1:9">
      <c r="A121" s="3" t="str">
        <f t="shared" si="6"/>
        <v>0102</v>
      </c>
      <c r="B121" s="3" t="s">
        <v>10</v>
      </c>
      <c r="C121" s="3" t="str">
        <f>"刘梦琦"</f>
        <v>刘梦琦</v>
      </c>
      <c r="D121" s="3" t="str">
        <f t="shared" si="8"/>
        <v>女</v>
      </c>
      <c r="E121" s="3" t="str">
        <f>"2507010429"</f>
        <v>2507010429</v>
      </c>
      <c r="F121" s="3" t="str">
        <f t="shared" si="7"/>
        <v>04</v>
      </c>
      <c r="G121" s="4" t="str">
        <f>"29"</f>
        <v>29</v>
      </c>
      <c r="H121" s="5">
        <v>0</v>
      </c>
      <c r="I121" s="3" t="s">
        <v>11</v>
      </c>
    </row>
    <row r="122" customHeight="1" spans="1:9">
      <c r="A122" s="3" t="str">
        <f t="shared" si="6"/>
        <v>0102</v>
      </c>
      <c r="B122" s="3" t="s">
        <v>10</v>
      </c>
      <c r="C122" s="3" t="str">
        <f>"马莹"</f>
        <v>马莹</v>
      </c>
      <c r="D122" s="3" t="str">
        <f t="shared" si="8"/>
        <v>女</v>
      </c>
      <c r="E122" s="3" t="str">
        <f>"2507010430"</f>
        <v>2507010430</v>
      </c>
      <c r="F122" s="3" t="str">
        <f t="shared" si="7"/>
        <v>04</v>
      </c>
      <c r="G122" s="4" t="str">
        <f>"30"</f>
        <v>30</v>
      </c>
      <c r="H122" s="5">
        <v>72.5</v>
      </c>
      <c r="I122" s="3"/>
    </row>
    <row r="123" customHeight="1" spans="1:9">
      <c r="A123" s="3" t="str">
        <f t="shared" si="6"/>
        <v>0102</v>
      </c>
      <c r="B123" s="3" t="s">
        <v>10</v>
      </c>
      <c r="C123" s="3" t="str">
        <f>"翟诗嘉"</f>
        <v>翟诗嘉</v>
      </c>
      <c r="D123" s="3" t="str">
        <f t="shared" si="8"/>
        <v>女</v>
      </c>
      <c r="E123" s="3" t="str">
        <f>"2507010501"</f>
        <v>2507010501</v>
      </c>
      <c r="F123" s="3" t="str">
        <f t="shared" ref="F123:F152" si="9">"05"</f>
        <v>05</v>
      </c>
      <c r="G123" s="4" t="str">
        <f>"01"</f>
        <v>01</v>
      </c>
      <c r="H123" s="5">
        <v>78.5</v>
      </c>
      <c r="I123" s="3"/>
    </row>
    <row r="124" customHeight="1" spans="1:9">
      <c r="A124" s="3" t="str">
        <f t="shared" si="6"/>
        <v>0102</v>
      </c>
      <c r="B124" s="3" t="s">
        <v>10</v>
      </c>
      <c r="C124" s="3" t="str">
        <f>"李彦彦"</f>
        <v>李彦彦</v>
      </c>
      <c r="D124" s="3" t="str">
        <f t="shared" si="8"/>
        <v>女</v>
      </c>
      <c r="E124" s="3" t="str">
        <f>"2507010502"</f>
        <v>2507010502</v>
      </c>
      <c r="F124" s="3" t="str">
        <f t="shared" si="9"/>
        <v>05</v>
      </c>
      <c r="G124" s="4" t="str">
        <f>"02"</f>
        <v>02</v>
      </c>
      <c r="H124" s="5">
        <v>62</v>
      </c>
      <c r="I124" s="3"/>
    </row>
    <row r="125" customHeight="1" spans="1:9">
      <c r="A125" s="3" t="str">
        <f t="shared" si="6"/>
        <v>0102</v>
      </c>
      <c r="B125" s="3" t="s">
        <v>10</v>
      </c>
      <c r="C125" s="3" t="str">
        <f>"宦莲子"</f>
        <v>宦莲子</v>
      </c>
      <c r="D125" s="3" t="str">
        <f t="shared" si="8"/>
        <v>女</v>
      </c>
      <c r="E125" s="3" t="str">
        <f>"2507010503"</f>
        <v>2507010503</v>
      </c>
      <c r="F125" s="3" t="str">
        <f t="shared" si="9"/>
        <v>05</v>
      </c>
      <c r="G125" s="4" t="str">
        <f>"03"</f>
        <v>03</v>
      </c>
      <c r="H125" s="5">
        <v>81.5</v>
      </c>
      <c r="I125" s="3"/>
    </row>
    <row r="126" customHeight="1" spans="1:9">
      <c r="A126" s="3" t="str">
        <f t="shared" si="6"/>
        <v>0102</v>
      </c>
      <c r="B126" s="3" t="s">
        <v>10</v>
      </c>
      <c r="C126" s="3" t="str">
        <f>"崔洁"</f>
        <v>崔洁</v>
      </c>
      <c r="D126" s="3" t="str">
        <f t="shared" si="8"/>
        <v>女</v>
      </c>
      <c r="E126" s="3" t="str">
        <f>"2507010504"</f>
        <v>2507010504</v>
      </c>
      <c r="F126" s="3" t="str">
        <f t="shared" si="9"/>
        <v>05</v>
      </c>
      <c r="G126" s="4" t="str">
        <f>"04"</f>
        <v>04</v>
      </c>
      <c r="H126" s="5">
        <v>76.5</v>
      </c>
      <c r="I126" s="3"/>
    </row>
    <row r="127" customHeight="1" spans="1:9">
      <c r="A127" s="3" t="str">
        <f t="shared" si="6"/>
        <v>0102</v>
      </c>
      <c r="B127" s="3" t="s">
        <v>10</v>
      </c>
      <c r="C127" s="3" t="str">
        <f>"唐临沂"</f>
        <v>唐临沂</v>
      </c>
      <c r="D127" s="3" t="str">
        <f>"男"</f>
        <v>男</v>
      </c>
      <c r="E127" s="3" t="str">
        <f>"2507010505"</f>
        <v>2507010505</v>
      </c>
      <c r="F127" s="3" t="str">
        <f t="shared" si="9"/>
        <v>05</v>
      </c>
      <c r="G127" s="4" t="str">
        <f>"05"</f>
        <v>05</v>
      </c>
      <c r="H127" s="5">
        <v>0</v>
      </c>
      <c r="I127" s="3" t="s">
        <v>11</v>
      </c>
    </row>
    <row r="128" customHeight="1" spans="1:9">
      <c r="A128" s="3" t="str">
        <f t="shared" si="6"/>
        <v>0102</v>
      </c>
      <c r="B128" s="3" t="s">
        <v>10</v>
      </c>
      <c r="C128" s="3" t="str">
        <f>"颜新廷"</f>
        <v>颜新廷</v>
      </c>
      <c r="D128" s="3" t="str">
        <f t="shared" ref="D128:D135" si="10">"女"</f>
        <v>女</v>
      </c>
      <c r="E128" s="3" t="str">
        <f>"2507010506"</f>
        <v>2507010506</v>
      </c>
      <c r="F128" s="3" t="str">
        <f t="shared" si="9"/>
        <v>05</v>
      </c>
      <c r="G128" s="4" t="str">
        <f>"06"</f>
        <v>06</v>
      </c>
      <c r="H128" s="5">
        <v>0</v>
      </c>
      <c r="I128" s="3" t="s">
        <v>11</v>
      </c>
    </row>
    <row r="129" customHeight="1" spans="1:9">
      <c r="A129" s="3" t="str">
        <f t="shared" si="6"/>
        <v>0102</v>
      </c>
      <c r="B129" s="3" t="s">
        <v>10</v>
      </c>
      <c r="C129" s="3" t="str">
        <f>"顾悦"</f>
        <v>顾悦</v>
      </c>
      <c r="D129" s="3" t="str">
        <f t="shared" si="10"/>
        <v>女</v>
      </c>
      <c r="E129" s="3" t="str">
        <f>"2507010507"</f>
        <v>2507010507</v>
      </c>
      <c r="F129" s="3" t="str">
        <f t="shared" si="9"/>
        <v>05</v>
      </c>
      <c r="G129" s="4" t="str">
        <f>"07"</f>
        <v>07</v>
      </c>
      <c r="H129" s="5">
        <v>0</v>
      </c>
      <c r="I129" s="3" t="s">
        <v>11</v>
      </c>
    </row>
    <row r="130" customHeight="1" spans="1:9">
      <c r="A130" s="3" t="str">
        <f t="shared" si="6"/>
        <v>0102</v>
      </c>
      <c r="B130" s="3" t="s">
        <v>10</v>
      </c>
      <c r="C130" s="3" t="str">
        <f>"刘琪"</f>
        <v>刘琪</v>
      </c>
      <c r="D130" s="3" t="str">
        <f t="shared" si="10"/>
        <v>女</v>
      </c>
      <c r="E130" s="3" t="str">
        <f>"2507010508"</f>
        <v>2507010508</v>
      </c>
      <c r="F130" s="3" t="str">
        <f t="shared" si="9"/>
        <v>05</v>
      </c>
      <c r="G130" s="4" t="str">
        <f>"08"</f>
        <v>08</v>
      </c>
      <c r="H130" s="5">
        <v>77</v>
      </c>
      <c r="I130" s="3"/>
    </row>
    <row r="131" customHeight="1" spans="1:9">
      <c r="A131" s="3" t="str">
        <f t="shared" ref="A131:A194" si="11">"0102"</f>
        <v>0102</v>
      </c>
      <c r="B131" s="3" t="s">
        <v>10</v>
      </c>
      <c r="C131" s="3" t="str">
        <f>"冯晨晨"</f>
        <v>冯晨晨</v>
      </c>
      <c r="D131" s="3" t="str">
        <f t="shared" si="10"/>
        <v>女</v>
      </c>
      <c r="E131" s="3" t="str">
        <f>"2507010509"</f>
        <v>2507010509</v>
      </c>
      <c r="F131" s="3" t="str">
        <f t="shared" si="9"/>
        <v>05</v>
      </c>
      <c r="G131" s="4" t="str">
        <f>"09"</f>
        <v>09</v>
      </c>
      <c r="H131" s="5">
        <v>73</v>
      </c>
      <c r="I131" s="3"/>
    </row>
    <row r="132" customHeight="1" spans="1:9">
      <c r="A132" s="3" t="str">
        <f t="shared" si="11"/>
        <v>0102</v>
      </c>
      <c r="B132" s="3" t="s">
        <v>10</v>
      </c>
      <c r="C132" s="3" t="str">
        <f>"薛佳美"</f>
        <v>薛佳美</v>
      </c>
      <c r="D132" s="3" t="str">
        <f t="shared" si="10"/>
        <v>女</v>
      </c>
      <c r="E132" s="3" t="str">
        <f>"2507010510"</f>
        <v>2507010510</v>
      </c>
      <c r="F132" s="3" t="str">
        <f t="shared" si="9"/>
        <v>05</v>
      </c>
      <c r="G132" s="4" t="str">
        <f>"10"</f>
        <v>10</v>
      </c>
      <c r="H132" s="5">
        <v>77</v>
      </c>
      <c r="I132" s="3"/>
    </row>
    <row r="133" customHeight="1" spans="1:9">
      <c r="A133" s="3" t="str">
        <f t="shared" si="11"/>
        <v>0102</v>
      </c>
      <c r="B133" s="3" t="s">
        <v>10</v>
      </c>
      <c r="C133" s="3" t="str">
        <f>"郭丽萍"</f>
        <v>郭丽萍</v>
      </c>
      <c r="D133" s="3" t="str">
        <f t="shared" si="10"/>
        <v>女</v>
      </c>
      <c r="E133" s="3" t="str">
        <f>"2507010511"</f>
        <v>2507010511</v>
      </c>
      <c r="F133" s="3" t="str">
        <f t="shared" si="9"/>
        <v>05</v>
      </c>
      <c r="G133" s="4" t="str">
        <f>"11"</f>
        <v>11</v>
      </c>
      <c r="H133" s="5">
        <v>69</v>
      </c>
      <c r="I133" s="3"/>
    </row>
    <row r="134" customHeight="1" spans="1:9">
      <c r="A134" s="3" t="str">
        <f t="shared" si="11"/>
        <v>0102</v>
      </c>
      <c r="B134" s="3" t="s">
        <v>10</v>
      </c>
      <c r="C134" s="3" t="str">
        <f>"彭梦迪"</f>
        <v>彭梦迪</v>
      </c>
      <c r="D134" s="3" t="str">
        <f t="shared" si="10"/>
        <v>女</v>
      </c>
      <c r="E134" s="3" t="str">
        <f>"2507010512"</f>
        <v>2507010512</v>
      </c>
      <c r="F134" s="3" t="str">
        <f t="shared" si="9"/>
        <v>05</v>
      </c>
      <c r="G134" s="4" t="str">
        <f>"12"</f>
        <v>12</v>
      </c>
      <c r="H134" s="5">
        <v>0</v>
      </c>
      <c r="I134" s="3" t="s">
        <v>11</v>
      </c>
    </row>
    <row r="135" customHeight="1" spans="1:9">
      <c r="A135" s="3" t="str">
        <f t="shared" si="11"/>
        <v>0102</v>
      </c>
      <c r="B135" s="3" t="s">
        <v>10</v>
      </c>
      <c r="C135" s="3" t="str">
        <f>"陈羽桐"</f>
        <v>陈羽桐</v>
      </c>
      <c r="D135" s="3" t="str">
        <f t="shared" si="10"/>
        <v>女</v>
      </c>
      <c r="E135" s="3" t="str">
        <f>"2507010513"</f>
        <v>2507010513</v>
      </c>
      <c r="F135" s="3" t="str">
        <f t="shared" si="9"/>
        <v>05</v>
      </c>
      <c r="G135" s="4" t="str">
        <f>"13"</f>
        <v>13</v>
      </c>
      <c r="H135" s="5">
        <v>0</v>
      </c>
      <c r="I135" s="3" t="s">
        <v>11</v>
      </c>
    </row>
    <row r="136" customHeight="1" spans="1:9">
      <c r="A136" s="3" t="str">
        <f t="shared" si="11"/>
        <v>0102</v>
      </c>
      <c r="B136" s="3" t="s">
        <v>10</v>
      </c>
      <c r="C136" s="3" t="str">
        <f>"郭霖"</f>
        <v>郭霖</v>
      </c>
      <c r="D136" s="3" t="str">
        <f>"男"</f>
        <v>男</v>
      </c>
      <c r="E136" s="3" t="str">
        <f>"2507010514"</f>
        <v>2507010514</v>
      </c>
      <c r="F136" s="3" t="str">
        <f t="shared" si="9"/>
        <v>05</v>
      </c>
      <c r="G136" s="4" t="str">
        <f>"14"</f>
        <v>14</v>
      </c>
      <c r="H136" s="5">
        <v>0</v>
      </c>
      <c r="I136" s="3" t="s">
        <v>11</v>
      </c>
    </row>
    <row r="137" customHeight="1" spans="1:9">
      <c r="A137" s="3" t="str">
        <f t="shared" si="11"/>
        <v>0102</v>
      </c>
      <c r="B137" s="3" t="s">
        <v>10</v>
      </c>
      <c r="C137" s="3" t="str">
        <f>"仲黎黎"</f>
        <v>仲黎黎</v>
      </c>
      <c r="D137" s="3" t="str">
        <f t="shared" ref="D137:D155" si="12">"女"</f>
        <v>女</v>
      </c>
      <c r="E137" s="3" t="str">
        <f>"2507010515"</f>
        <v>2507010515</v>
      </c>
      <c r="F137" s="3" t="str">
        <f t="shared" si="9"/>
        <v>05</v>
      </c>
      <c r="G137" s="4" t="str">
        <f>"15"</f>
        <v>15</v>
      </c>
      <c r="H137" s="5">
        <v>75</v>
      </c>
      <c r="I137" s="3"/>
    </row>
    <row r="138" customHeight="1" spans="1:9">
      <c r="A138" s="3" t="str">
        <f t="shared" si="11"/>
        <v>0102</v>
      </c>
      <c r="B138" s="3" t="s">
        <v>10</v>
      </c>
      <c r="C138" s="3" t="str">
        <f>"李秋雨"</f>
        <v>李秋雨</v>
      </c>
      <c r="D138" s="3" t="str">
        <f t="shared" si="12"/>
        <v>女</v>
      </c>
      <c r="E138" s="3" t="str">
        <f>"2507010516"</f>
        <v>2507010516</v>
      </c>
      <c r="F138" s="3" t="str">
        <f t="shared" si="9"/>
        <v>05</v>
      </c>
      <c r="G138" s="4" t="str">
        <f>"16"</f>
        <v>16</v>
      </c>
      <c r="H138" s="5">
        <v>80</v>
      </c>
      <c r="I138" s="3"/>
    </row>
    <row r="139" customHeight="1" spans="1:9">
      <c r="A139" s="3" t="str">
        <f t="shared" si="11"/>
        <v>0102</v>
      </c>
      <c r="B139" s="3" t="s">
        <v>10</v>
      </c>
      <c r="C139" s="3" t="str">
        <f>"黄弘图"</f>
        <v>黄弘图</v>
      </c>
      <c r="D139" s="3" t="str">
        <f t="shared" si="12"/>
        <v>女</v>
      </c>
      <c r="E139" s="3" t="str">
        <f>"2507010517"</f>
        <v>2507010517</v>
      </c>
      <c r="F139" s="3" t="str">
        <f t="shared" si="9"/>
        <v>05</v>
      </c>
      <c r="G139" s="4" t="str">
        <f>"17"</f>
        <v>17</v>
      </c>
      <c r="H139" s="5">
        <v>81.5</v>
      </c>
      <c r="I139" s="3"/>
    </row>
    <row r="140" customHeight="1" spans="1:9">
      <c r="A140" s="3" t="str">
        <f t="shared" si="11"/>
        <v>0102</v>
      </c>
      <c r="B140" s="3" t="s">
        <v>10</v>
      </c>
      <c r="C140" s="3" t="str">
        <f>"丁艳"</f>
        <v>丁艳</v>
      </c>
      <c r="D140" s="3" t="str">
        <f t="shared" si="12"/>
        <v>女</v>
      </c>
      <c r="E140" s="3" t="str">
        <f>"2507010518"</f>
        <v>2507010518</v>
      </c>
      <c r="F140" s="3" t="str">
        <f t="shared" si="9"/>
        <v>05</v>
      </c>
      <c r="G140" s="4" t="str">
        <f>"18"</f>
        <v>18</v>
      </c>
      <c r="H140" s="5">
        <v>0</v>
      </c>
      <c r="I140" s="3" t="s">
        <v>11</v>
      </c>
    </row>
    <row r="141" customHeight="1" spans="1:9">
      <c r="A141" s="3" t="str">
        <f t="shared" si="11"/>
        <v>0102</v>
      </c>
      <c r="B141" s="3" t="s">
        <v>10</v>
      </c>
      <c r="C141" s="3" t="str">
        <f>"马雨晨"</f>
        <v>马雨晨</v>
      </c>
      <c r="D141" s="3" t="str">
        <f t="shared" si="12"/>
        <v>女</v>
      </c>
      <c r="E141" s="3" t="str">
        <f>"2507010519"</f>
        <v>2507010519</v>
      </c>
      <c r="F141" s="3" t="str">
        <f t="shared" si="9"/>
        <v>05</v>
      </c>
      <c r="G141" s="4" t="str">
        <f>"19"</f>
        <v>19</v>
      </c>
      <c r="H141" s="5">
        <v>77.5</v>
      </c>
      <c r="I141" s="3"/>
    </row>
    <row r="142" customHeight="1" spans="1:9">
      <c r="A142" s="3" t="str">
        <f t="shared" si="11"/>
        <v>0102</v>
      </c>
      <c r="B142" s="3" t="s">
        <v>10</v>
      </c>
      <c r="C142" s="3" t="str">
        <f>"陈晨"</f>
        <v>陈晨</v>
      </c>
      <c r="D142" s="3" t="str">
        <f t="shared" si="12"/>
        <v>女</v>
      </c>
      <c r="E142" s="3" t="str">
        <f>"2507010520"</f>
        <v>2507010520</v>
      </c>
      <c r="F142" s="3" t="str">
        <f t="shared" si="9"/>
        <v>05</v>
      </c>
      <c r="G142" s="4" t="str">
        <f>"20"</f>
        <v>20</v>
      </c>
      <c r="H142" s="5">
        <v>81</v>
      </c>
      <c r="I142" s="3"/>
    </row>
    <row r="143" customHeight="1" spans="1:9">
      <c r="A143" s="3" t="str">
        <f t="shared" si="11"/>
        <v>0102</v>
      </c>
      <c r="B143" s="3" t="s">
        <v>10</v>
      </c>
      <c r="C143" s="3" t="str">
        <f>"苗博文"</f>
        <v>苗博文</v>
      </c>
      <c r="D143" s="3" t="str">
        <f t="shared" si="12"/>
        <v>女</v>
      </c>
      <c r="E143" s="3" t="str">
        <f>"2507010521"</f>
        <v>2507010521</v>
      </c>
      <c r="F143" s="3" t="str">
        <f t="shared" si="9"/>
        <v>05</v>
      </c>
      <c r="G143" s="4" t="str">
        <f>"21"</f>
        <v>21</v>
      </c>
      <c r="H143" s="5">
        <v>0</v>
      </c>
      <c r="I143" s="3" t="s">
        <v>11</v>
      </c>
    </row>
    <row r="144" customHeight="1" spans="1:9">
      <c r="A144" s="3" t="str">
        <f t="shared" si="11"/>
        <v>0102</v>
      </c>
      <c r="B144" s="3" t="s">
        <v>10</v>
      </c>
      <c r="C144" s="3" t="str">
        <f>"陈佳影"</f>
        <v>陈佳影</v>
      </c>
      <c r="D144" s="3" t="str">
        <f t="shared" si="12"/>
        <v>女</v>
      </c>
      <c r="E144" s="3" t="str">
        <f>"2507010522"</f>
        <v>2507010522</v>
      </c>
      <c r="F144" s="3" t="str">
        <f t="shared" si="9"/>
        <v>05</v>
      </c>
      <c r="G144" s="4" t="str">
        <f>"22"</f>
        <v>22</v>
      </c>
      <c r="H144" s="5">
        <v>0</v>
      </c>
      <c r="I144" s="3" t="s">
        <v>11</v>
      </c>
    </row>
    <row r="145" customHeight="1" spans="1:9">
      <c r="A145" s="3" t="str">
        <f t="shared" si="11"/>
        <v>0102</v>
      </c>
      <c r="B145" s="3" t="s">
        <v>10</v>
      </c>
      <c r="C145" s="3" t="str">
        <f>"王婉"</f>
        <v>王婉</v>
      </c>
      <c r="D145" s="3" t="str">
        <f t="shared" si="12"/>
        <v>女</v>
      </c>
      <c r="E145" s="3" t="str">
        <f>"2507010523"</f>
        <v>2507010523</v>
      </c>
      <c r="F145" s="3" t="str">
        <f t="shared" si="9"/>
        <v>05</v>
      </c>
      <c r="G145" s="4" t="str">
        <f>"23"</f>
        <v>23</v>
      </c>
      <c r="H145" s="5">
        <v>0</v>
      </c>
      <c r="I145" s="3" t="s">
        <v>11</v>
      </c>
    </row>
    <row r="146" customHeight="1" spans="1:9">
      <c r="A146" s="3" t="str">
        <f t="shared" si="11"/>
        <v>0102</v>
      </c>
      <c r="B146" s="3" t="s">
        <v>10</v>
      </c>
      <c r="C146" s="3" t="str">
        <f>"刘景云"</f>
        <v>刘景云</v>
      </c>
      <c r="D146" s="3" t="str">
        <f t="shared" si="12"/>
        <v>女</v>
      </c>
      <c r="E146" s="3" t="str">
        <f>"2507010524"</f>
        <v>2507010524</v>
      </c>
      <c r="F146" s="3" t="str">
        <f t="shared" si="9"/>
        <v>05</v>
      </c>
      <c r="G146" s="4" t="str">
        <f>"24"</f>
        <v>24</v>
      </c>
      <c r="H146" s="5">
        <v>0</v>
      </c>
      <c r="I146" s="3" t="s">
        <v>11</v>
      </c>
    </row>
    <row r="147" customHeight="1" spans="1:9">
      <c r="A147" s="3" t="str">
        <f t="shared" si="11"/>
        <v>0102</v>
      </c>
      <c r="B147" s="3" t="s">
        <v>10</v>
      </c>
      <c r="C147" s="3" t="str">
        <f>"高虹"</f>
        <v>高虹</v>
      </c>
      <c r="D147" s="3" t="str">
        <f t="shared" si="12"/>
        <v>女</v>
      </c>
      <c r="E147" s="3" t="str">
        <f>"2507010525"</f>
        <v>2507010525</v>
      </c>
      <c r="F147" s="3" t="str">
        <f t="shared" si="9"/>
        <v>05</v>
      </c>
      <c r="G147" s="4" t="str">
        <f>"25"</f>
        <v>25</v>
      </c>
      <c r="H147" s="5">
        <v>0</v>
      </c>
      <c r="I147" s="3" t="s">
        <v>11</v>
      </c>
    </row>
    <row r="148" customHeight="1" spans="1:9">
      <c r="A148" s="3" t="str">
        <f t="shared" si="11"/>
        <v>0102</v>
      </c>
      <c r="B148" s="3" t="s">
        <v>10</v>
      </c>
      <c r="C148" s="3" t="str">
        <f>"韩晴"</f>
        <v>韩晴</v>
      </c>
      <c r="D148" s="3" t="str">
        <f t="shared" si="12"/>
        <v>女</v>
      </c>
      <c r="E148" s="3" t="str">
        <f>"2507010526"</f>
        <v>2507010526</v>
      </c>
      <c r="F148" s="3" t="str">
        <f t="shared" si="9"/>
        <v>05</v>
      </c>
      <c r="G148" s="4" t="str">
        <f>"26"</f>
        <v>26</v>
      </c>
      <c r="H148" s="5">
        <v>76.5</v>
      </c>
      <c r="I148" s="3"/>
    </row>
    <row r="149" customHeight="1" spans="1:9">
      <c r="A149" s="3" t="str">
        <f t="shared" si="11"/>
        <v>0102</v>
      </c>
      <c r="B149" s="3" t="s">
        <v>10</v>
      </c>
      <c r="C149" s="3" t="str">
        <f>"张妍"</f>
        <v>张妍</v>
      </c>
      <c r="D149" s="3" t="str">
        <f t="shared" si="12"/>
        <v>女</v>
      </c>
      <c r="E149" s="3" t="str">
        <f>"2507010527"</f>
        <v>2507010527</v>
      </c>
      <c r="F149" s="3" t="str">
        <f t="shared" si="9"/>
        <v>05</v>
      </c>
      <c r="G149" s="4" t="str">
        <f>"27"</f>
        <v>27</v>
      </c>
      <c r="H149" s="5">
        <v>72</v>
      </c>
      <c r="I149" s="3"/>
    </row>
    <row r="150" customHeight="1" spans="1:9">
      <c r="A150" s="3" t="str">
        <f t="shared" si="11"/>
        <v>0102</v>
      </c>
      <c r="B150" s="3" t="s">
        <v>10</v>
      </c>
      <c r="C150" s="3" t="str">
        <f>"袁红"</f>
        <v>袁红</v>
      </c>
      <c r="D150" s="3" t="str">
        <f t="shared" si="12"/>
        <v>女</v>
      </c>
      <c r="E150" s="3" t="str">
        <f>"2507010528"</f>
        <v>2507010528</v>
      </c>
      <c r="F150" s="3" t="str">
        <f t="shared" si="9"/>
        <v>05</v>
      </c>
      <c r="G150" s="4" t="str">
        <f>"28"</f>
        <v>28</v>
      </c>
      <c r="H150" s="5">
        <v>0</v>
      </c>
      <c r="I150" s="3" t="s">
        <v>11</v>
      </c>
    </row>
    <row r="151" customHeight="1" spans="1:9">
      <c r="A151" s="3" t="str">
        <f t="shared" si="11"/>
        <v>0102</v>
      </c>
      <c r="B151" s="3" t="s">
        <v>10</v>
      </c>
      <c r="C151" s="3" t="str">
        <f>"单新新"</f>
        <v>单新新</v>
      </c>
      <c r="D151" s="3" t="str">
        <f t="shared" si="12"/>
        <v>女</v>
      </c>
      <c r="E151" s="3" t="str">
        <f>"2507010529"</f>
        <v>2507010529</v>
      </c>
      <c r="F151" s="3" t="str">
        <f t="shared" si="9"/>
        <v>05</v>
      </c>
      <c r="G151" s="4" t="str">
        <f>"29"</f>
        <v>29</v>
      </c>
      <c r="H151" s="5">
        <v>71</v>
      </c>
      <c r="I151" s="3"/>
    </row>
    <row r="152" customHeight="1" spans="1:9">
      <c r="A152" s="3" t="str">
        <f t="shared" si="11"/>
        <v>0102</v>
      </c>
      <c r="B152" s="3" t="s">
        <v>10</v>
      </c>
      <c r="C152" s="3" t="str">
        <f>"刘娟"</f>
        <v>刘娟</v>
      </c>
      <c r="D152" s="3" t="str">
        <f t="shared" si="12"/>
        <v>女</v>
      </c>
      <c r="E152" s="3" t="str">
        <f>"2507010530"</f>
        <v>2507010530</v>
      </c>
      <c r="F152" s="3" t="str">
        <f t="shared" si="9"/>
        <v>05</v>
      </c>
      <c r="G152" s="4" t="str">
        <f>"30"</f>
        <v>30</v>
      </c>
      <c r="H152" s="5">
        <v>65</v>
      </c>
      <c r="I152" s="3"/>
    </row>
    <row r="153" customHeight="1" spans="1:9">
      <c r="A153" s="3" t="str">
        <f t="shared" si="11"/>
        <v>0102</v>
      </c>
      <c r="B153" s="3" t="s">
        <v>10</v>
      </c>
      <c r="C153" s="3" t="str">
        <f>"史盼盼"</f>
        <v>史盼盼</v>
      </c>
      <c r="D153" s="3" t="str">
        <f t="shared" si="12"/>
        <v>女</v>
      </c>
      <c r="E153" s="3" t="str">
        <f>"2507010601"</f>
        <v>2507010601</v>
      </c>
      <c r="F153" s="3" t="str">
        <f t="shared" ref="F153:F182" si="13">"06"</f>
        <v>06</v>
      </c>
      <c r="G153" s="4" t="str">
        <f>"01"</f>
        <v>01</v>
      </c>
      <c r="H153" s="5">
        <v>77</v>
      </c>
      <c r="I153" s="3"/>
    </row>
    <row r="154" customHeight="1" spans="1:9">
      <c r="A154" s="3" t="str">
        <f t="shared" si="11"/>
        <v>0102</v>
      </c>
      <c r="B154" s="3" t="s">
        <v>10</v>
      </c>
      <c r="C154" s="3" t="str">
        <f>"殷楚楚"</f>
        <v>殷楚楚</v>
      </c>
      <c r="D154" s="3" t="str">
        <f t="shared" si="12"/>
        <v>女</v>
      </c>
      <c r="E154" s="3" t="str">
        <f>"2507010602"</f>
        <v>2507010602</v>
      </c>
      <c r="F154" s="3" t="str">
        <f t="shared" si="13"/>
        <v>06</v>
      </c>
      <c r="G154" s="4" t="str">
        <f>"02"</f>
        <v>02</v>
      </c>
      <c r="H154" s="5">
        <v>65</v>
      </c>
      <c r="I154" s="3"/>
    </row>
    <row r="155" customHeight="1" spans="1:9">
      <c r="A155" s="3" t="str">
        <f t="shared" si="11"/>
        <v>0102</v>
      </c>
      <c r="B155" s="3" t="s">
        <v>10</v>
      </c>
      <c r="C155" s="3" t="str">
        <f>"徐珍妮"</f>
        <v>徐珍妮</v>
      </c>
      <c r="D155" s="3" t="str">
        <f t="shared" si="12"/>
        <v>女</v>
      </c>
      <c r="E155" s="3" t="str">
        <f>"2507010603"</f>
        <v>2507010603</v>
      </c>
      <c r="F155" s="3" t="str">
        <f t="shared" si="13"/>
        <v>06</v>
      </c>
      <c r="G155" s="4" t="str">
        <f>"03"</f>
        <v>03</v>
      </c>
      <c r="H155" s="5">
        <v>0</v>
      </c>
      <c r="I155" s="3" t="s">
        <v>11</v>
      </c>
    </row>
    <row r="156" customHeight="1" spans="1:9">
      <c r="A156" s="3" t="str">
        <f t="shared" si="11"/>
        <v>0102</v>
      </c>
      <c r="B156" s="3" t="s">
        <v>10</v>
      </c>
      <c r="C156" s="3" t="str">
        <f>"房增愿"</f>
        <v>房增愿</v>
      </c>
      <c r="D156" s="3" t="str">
        <f>"男"</f>
        <v>男</v>
      </c>
      <c r="E156" s="3" t="str">
        <f>"2507010604"</f>
        <v>2507010604</v>
      </c>
      <c r="F156" s="3" t="str">
        <f t="shared" si="13"/>
        <v>06</v>
      </c>
      <c r="G156" s="4" t="str">
        <f>"04"</f>
        <v>04</v>
      </c>
      <c r="H156" s="5">
        <v>80</v>
      </c>
      <c r="I156" s="3"/>
    </row>
    <row r="157" customHeight="1" spans="1:9">
      <c r="A157" s="3" t="str">
        <f t="shared" si="11"/>
        <v>0102</v>
      </c>
      <c r="B157" s="3" t="s">
        <v>10</v>
      </c>
      <c r="C157" s="3" t="str">
        <f>"王菲"</f>
        <v>王菲</v>
      </c>
      <c r="D157" s="3" t="str">
        <f>"女"</f>
        <v>女</v>
      </c>
      <c r="E157" s="3" t="str">
        <f>"2507010605"</f>
        <v>2507010605</v>
      </c>
      <c r="F157" s="3" t="str">
        <f t="shared" si="13"/>
        <v>06</v>
      </c>
      <c r="G157" s="4" t="str">
        <f>"05"</f>
        <v>05</v>
      </c>
      <c r="H157" s="5">
        <v>68.5</v>
      </c>
      <c r="I157" s="3"/>
    </row>
    <row r="158" customHeight="1" spans="1:9">
      <c r="A158" s="3" t="str">
        <f t="shared" si="11"/>
        <v>0102</v>
      </c>
      <c r="B158" s="3" t="s">
        <v>10</v>
      </c>
      <c r="C158" s="3" t="str">
        <f>"族彤彤"</f>
        <v>族彤彤</v>
      </c>
      <c r="D158" s="3" t="str">
        <f>"女"</f>
        <v>女</v>
      </c>
      <c r="E158" s="3" t="str">
        <f>"2507010606"</f>
        <v>2507010606</v>
      </c>
      <c r="F158" s="3" t="str">
        <f t="shared" si="13"/>
        <v>06</v>
      </c>
      <c r="G158" s="4" t="str">
        <f>"06"</f>
        <v>06</v>
      </c>
      <c r="H158" s="5">
        <v>85</v>
      </c>
      <c r="I158" s="3"/>
    </row>
    <row r="159" customHeight="1" spans="1:9">
      <c r="A159" s="3" t="str">
        <f t="shared" si="11"/>
        <v>0102</v>
      </c>
      <c r="B159" s="3" t="s">
        <v>10</v>
      </c>
      <c r="C159" s="3" t="str">
        <f>"朱岩岩"</f>
        <v>朱岩岩</v>
      </c>
      <c r="D159" s="3" t="str">
        <f>"女"</f>
        <v>女</v>
      </c>
      <c r="E159" s="3" t="str">
        <f>"2507010607"</f>
        <v>2507010607</v>
      </c>
      <c r="F159" s="3" t="str">
        <f t="shared" si="13"/>
        <v>06</v>
      </c>
      <c r="G159" s="4" t="str">
        <f>"07"</f>
        <v>07</v>
      </c>
      <c r="H159" s="5">
        <v>0</v>
      </c>
      <c r="I159" s="3" t="s">
        <v>11</v>
      </c>
    </row>
    <row r="160" customHeight="1" spans="1:9">
      <c r="A160" s="3" t="str">
        <f t="shared" si="11"/>
        <v>0102</v>
      </c>
      <c r="B160" s="3" t="s">
        <v>10</v>
      </c>
      <c r="C160" s="3" t="str">
        <f>"胡文婷"</f>
        <v>胡文婷</v>
      </c>
      <c r="D160" s="3" t="str">
        <f>"女"</f>
        <v>女</v>
      </c>
      <c r="E160" s="3" t="str">
        <f>"2507010608"</f>
        <v>2507010608</v>
      </c>
      <c r="F160" s="3" t="str">
        <f t="shared" si="13"/>
        <v>06</v>
      </c>
      <c r="G160" s="4" t="str">
        <f>"08"</f>
        <v>08</v>
      </c>
      <c r="H160" s="5">
        <v>73.5</v>
      </c>
      <c r="I160" s="3"/>
    </row>
    <row r="161" customHeight="1" spans="1:9">
      <c r="A161" s="3" t="str">
        <f t="shared" si="11"/>
        <v>0102</v>
      </c>
      <c r="B161" s="3" t="s">
        <v>10</v>
      </c>
      <c r="C161" s="3" t="str">
        <f>"崔厚帅"</f>
        <v>崔厚帅</v>
      </c>
      <c r="D161" s="3" t="str">
        <f>"男"</f>
        <v>男</v>
      </c>
      <c r="E161" s="3" t="str">
        <f>"2507010609"</f>
        <v>2507010609</v>
      </c>
      <c r="F161" s="3" t="str">
        <f t="shared" si="13"/>
        <v>06</v>
      </c>
      <c r="G161" s="4" t="str">
        <f>"09"</f>
        <v>09</v>
      </c>
      <c r="H161" s="5">
        <v>0</v>
      </c>
      <c r="I161" s="3" t="s">
        <v>11</v>
      </c>
    </row>
    <row r="162" customHeight="1" spans="1:9">
      <c r="A162" s="3" t="str">
        <f t="shared" si="11"/>
        <v>0102</v>
      </c>
      <c r="B162" s="3" t="s">
        <v>10</v>
      </c>
      <c r="C162" s="3" t="str">
        <f>"周子涵"</f>
        <v>周子涵</v>
      </c>
      <c r="D162" s="3" t="str">
        <f t="shared" ref="D162:D176" si="14">"女"</f>
        <v>女</v>
      </c>
      <c r="E162" s="3" t="str">
        <f>"2507010610"</f>
        <v>2507010610</v>
      </c>
      <c r="F162" s="3" t="str">
        <f t="shared" si="13"/>
        <v>06</v>
      </c>
      <c r="G162" s="4" t="str">
        <f>"10"</f>
        <v>10</v>
      </c>
      <c r="H162" s="5">
        <v>84</v>
      </c>
      <c r="I162" s="3"/>
    </row>
    <row r="163" customHeight="1" spans="1:9">
      <c r="A163" s="3" t="str">
        <f t="shared" si="11"/>
        <v>0102</v>
      </c>
      <c r="B163" s="3" t="s">
        <v>10</v>
      </c>
      <c r="C163" s="3" t="str">
        <f>"孟飞"</f>
        <v>孟飞</v>
      </c>
      <c r="D163" s="3" t="str">
        <f t="shared" si="14"/>
        <v>女</v>
      </c>
      <c r="E163" s="3" t="str">
        <f>"2507010611"</f>
        <v>2507010611</v>
      </c>
      <c r="F163" s="3" t="str">
        <f t="shared" si="13"/>
        <v>06</v>
      </c>
      <c r="G163" s="4" t="str">
        <f>"11"</f>
        <v>11</v>
      </c>
      <c r="H163" s="5">
        <v>68.5</v>
      </c>
      <c r="I163" s="3"/>
    </row>
    <row r="164" customHeight="1" spans="1:9">
      <c r="A164" s="3" t="str">
        <f t="shared" si="11"/>
        <v>0102</v>
      </c>
      <c r="B164" s="3" t="s">
        <v>10</v>
      </c>
      <c r="C164" s="3" t="str">
        <f>"解艺蕊"</f>
        <v>解艺蕊</v>
      </c>
      <c r="D164" s="3" t="str">
        <f t="shared" si="14"/>
        <v>女</v>
      </c>
      <c r="E164" s="3" t="str">
        <f>"2507010612"</f>
        <v>2507010612</v>
      </c>
      <c r="F164" s="3" t="str">
        <f t="shared" si="13"/>
        <v>06</v>
      </c>
      <c r="G164" s="4" t="str">
        <f>"12"</f>
        <v>12</v>
      </c>
      <c r="H164" s="5">
        <v>70.5</v>
      </c>
      <c r="I164" s="3"/>
    </row>
    <row r="165" customHeight="1" spans="1:9">
      <c r="A165" s="3" t="str">
        <f t="shared" si="11"/>
        <v>0102</v>
      </c>
      <c r="B165" s="3" t="s">
        <v>10</v>
      </c>
      <c r="C165" s="3" t="str">
        <f>"周灵芝"</f>
        <v>周灵芝</v>
      </c>
      <c r="D165" s="3" t="str">
        <f t="shared" si="14"/>
        <v>女</v>
      </c>
      <c r="E165" s="3" t="str">
        <f>"2507010613"</f>
        <v>2507010613</v>
      </c>
      <c r="F165" s="3" t="str">
        <f t="shared" si="13"/>
        <v>06</v>
      </c>
      <c r="G165" s="4" t="str">
        <f>"13"</f>
        <v>13</v>
      </c>
      <c r="H165" s="5">
        <v>78</v>
      </c>
      <c r="I165" s="3"/>
    </row>
    <row r="166" customHeight="1" spans="1:9">
      <c r="A166" s="3" t="str">
        <f t="shared" si="11"/>
        <v>0102</v>
      </c>
      <c r="B166" s="3" t="s">
        <v>10</v>
      </c>
      <c r="C166" s="3" t="str">
        <f>"谭向欣"</f>
        <v>谭向欣</v>
      </c>
      <c r="D166" s="3" t="str">
        <f t="shared" si="14"/>
        <v>女</v>
      </c>
      <c r="E166" s="3" t="str">
        <f>"2507010614"</f>
        <v>2507010614</v>
      </c>
      <c r="F166" s="3" t="str">
        <f t="shared" si="13"/>
        <v>06</v>
      </c>
      <c r="G166" s="4" t="str">
        <f>"14"</f>
        <v>14</v>
      </c>
      <c r="H166" s="5">
        <v>69.5</v>
      </c>
      <c r="I166" s="3"/>
    </row>
    <row r="167" customHeight="1" spans="1:9">
      <c r="A167" s="3" t="str">
        <f t="shared" si="11"/>
        <v>0102</v>
      </c>
      <c r="B167" s="3" t="s">
        <v>10</v>
      </c>
      <c r="C167" s="3" t="str">
        <f>"胡晓雨"</f>
        <v>胡晓雨</v>
      </c>
      <c r="D167" s="3" t="str">
        <f t="shared" si="14"/>
        <v>女</v>
      </c>
      <c r="E167" s="3" t="str">
        <f>"2507010615"</f>
        <v>2507010615</v>
      </c>
      <c r="F167" s="3" t="str">
        <f t="shared" si="13"/>
        <v>06</v>
      </c>
      <c r="G167" s="4" t="str">
        <f>"15"</f>
        <v>15</v>
      </c>
      <c r="H167" s="5">
        <v>0</v>
      </c>
      <c r="I167" s="3" t="s">
        <v>11</v>
      </c>
    </row>
    <row r="168" customHeight="1" spans="1:9">
      <c r="A168" s="3" t="str">
        <f t="shared" si="11"/>
        <v>0102</v>
      </c>
      <c r="B168" s="3" t="s">
        <v>10</v>
      </c>
      <c r="C168" s="3" t="str">
        <f>"卢璐"</f>
        <v>卢璐</v>
      </c>
      <c r="D168" s="3" t="str">
        <f t="shared" si="14"/>
        <v>女</v>
      </c>
      <c r="E168" s="3" t="str">
        <f>"2507010616"</f>
        <v>2507010616</v>
      </c>
      <c r="F168" s="3" t="str">
        <f t="shared" si="13"/>
        <v>06</v>
      </c>
      <c r="G168" s="4" t="str">
        <f>"16"</f>
        <v>16</v>
      </c>
      <c r="H168" s="5">
        <v>71</v>
      </c>
      <c r="I168" s="3"/>
    </row>
    <row r="169" customHeight="1" spans="1:9">
      <c r="A169" s="3" t="str">
        <f t="shared" si="11"/>
        <v>0102</v>
      </c>
      <c r="B169" s="3" t="s">
        <v>10</v>
      </c>
      <c r="C169" s="3" t="str">
        <f>"张丽娜"</f>
        <v>张丽娜</v>
      </c>
      <c r="D169" s="3" t="str">
        <f t="shared" si="14"/>
        <v>女</v>
      </c>
      <c r="E169" s="3" t="str">
        <f>"2507010617"</f>
        <v>2507010617</v>
      </c>
      <c r="F169" s="3" t="str">
        <f t="shared" si="13"/>
        <v>06</v>
      </c>
      <c r="G169" s="4" t="str">
        <f>"17"</f>
        <v>17</v>
      </c>
      <c r="H169" s="5">
        <v>76</v>
      </c>
      <c r="I169" s="3"/>
    </row>
    <row r="170" customHeight="1" spans="1:9">
      <c r="A170" s="3" t="str">
        <f t="shared" si="11"/>
        <v>0102</v>
      </c>
      <c r="B170" s="3" t="s">
        <v>10</v>
      </c>
      <c r="C170" s="3" t="str">
        <f>"汪慧"</f>
        <v>汪慧</v>
      </c>
      <c r="D170" s="3" t="str">
        <f t="shared" si="14"/>
        <v>女</v>
      </c>
      <c r="E170" s="3" t="str">
        <f>"2507010618"</f>
        <v>2507010618</v>
      </c>
      <c r="F170" s="3" t="str">
        <f t="shared" si="13"/>
        <v>06</v>
      </c>
      <c r="G170" s="4" t="str">
        <f>"18"</f>
        <v>18</v>
      </c>
      <c r="H170" s="5">
        <v>80.5</v>
      </c>
      <c r="I170" s="3"/>
    </row>
    <row r="171" customHeight="1" spans="1:9">
      <c r="A171" s="3" t="str">
        <f t="shared" si="11"/>
        <v>0102</v>
      </c>
      <c r="B171" s="3" t="s">
        <v>10</v>
      </c>
      <c r="C171" s="3" t="str">
        <f>"李静怡"</f>
        <v>李静怡</v>
      </c>
      <c r="D171" s="3" t="str">
        <f t="shared" si="14"/>
        <v>女</v>
      </c>
      <c r="E171" s="3" t="str">
        <f>"2507010619"</f>
        <v>2507010619</v>
      </c>
      <c r="F171" s="3" t="str">
        <f t="shared" si="13"/>
        <v>06</v>
      </c>
      <c r="G171" s="4" t="str">
        <f>"19"</f>
        <v>19</v>
      </c>
      <c r="H171" s="5">
        <v>73.5</v>
      </c>
      <c r="I171" s="3"/>
    </row>
    <row r="172" customHeight="1" spans="1:9">
      <c r="A172" s="3" t="str">
        <f t="shared" si="11"/>
        <v>0102</v>
      </c>
      <c r="B172" s="3" t="s">
        <v>10</v>
      </c>
      <c r="C172" s="3" t="str">
        <f>"高文雅"</f>
        <v>高文雅</v>
      </c>
      <c r="D172" s="3" t="str">
        <f t="shared" si="14"/>
        <v>女</v>
      </c>
      <c r="E172" s="3" t="str">
        <f>"2507010620"</f>
        <v>2507010620</v>
      </c>
      <c r="F172" s="3" t="str">
        <f t="shared" si="13"/>
        <v>06</v>
      </c>
      <c r="G172" s="4" t="str">
        <f>"20"</f>
        <v>20</v>
      </c>
      <c r="H172" s="5">
        <v>82</v>
      </c>
      <c r="I172" s="3"/>
    </row>
    <row r="173" customHeight="1" spans="1:9">
      <c r="A173" s="3" t="str">
        <f t="shared" si="11"/>
        <v>0102</v>
      </c>
      <c r="B173" s="3" t="s">
        <v>10</v>
      </c>
      <c r="C173" s="3" t="str">
        <f>"赵宇"</f>
        <v>赵宇</v>
      </c>
      <c r="D173" s="3" t="str">
        <f t="shared" si="14"/>
        <v>女</v>
      </c>
      <c r="E173" s="3" t="str">
        <f>"2507010621"</f>
        <v>2507010621</v>
      </c>
      <c r="F173" s="3" t="str">
        <f t="shared" si="13"/>
        <v>06</v>
      </c>
      <c r="G173" s="4" t="str">
        <f>"21"</f>
        <v>21</v>
      </c>
      <c r="H173" s="5">
        <v>0</v>
      </c>
      <c r="I173" s="3" t="s">
        <v>11</v>
      </c>
    </row>
    <row r="174" customHeight="1" spans="1:9">
      <c r="A174" s="3" t="str">
        <f t="shared" si="11"/>
        <v>0102</v>
      </c>
      <c r="B174" s="3" t="s">
        <v>10</v>
      </c>
      <c r="C174" s="3" t="str">
        <f>"范俊彦"</f>
        <v>范俊彦</v>
      </c>
      <c r="D174" s="3" t="str">
        <f t="shared" si="14"/>
        <v>女</v>
      </c>
      <c r="E174" s="3" t="str">
        <f>"2507010622"</f>
        <v>2507010622</v>
      </c>
      <c r="F174" s="3" t="str">
        <f t="shared" si="13"/>
        <v>06</v>
      </c>
      <c r="G174" s="4" t="str">
        <f>"22"</f>
        <v>22</v>
      </c>
      <c r="H174" s="5">
        <v>75</v>
      </c>
      <c r="I174" s="3"/>
    </row>
    <row r="175" customHeight="1" spans="1:9">
      <c r="A175" s="3" t="str">
        <f t="shared" si="11"/>
        <v>0102</v>
      </c>
      <c r="B175" s="3" t="s">
        <v>10</v>
      </c>
      <c r="C175" s="3" t="str">
        <f>"蔡亚萌"</f>
        <v>蔡亚萌</v>
      </c>
      <c r="D175" s="3" t="str">
        <f t="shared" si="14"/>
        <v>女</v>
      </c>
      <c r="E175" s="3" t="str">
        <f>"2507010623"</f>
        <v>2507010623</v>
      </c>
      <c r="F175" s="3" t="str">
        <f t="shared" si="13"/>
        <v>06</v>
      </c>
      <c r="G175" s="4" t="str">
        <f>"23"</f>
        <v>23</v>
      </c>
      <c r="H175" s="5">
        <v>71.5</v>
      </c>
      <c r="I175" s="3"/>
    </row>
    <row r="176" customHeight="1" spans="1:9">
      <c r="A176" s="3" t="str">
        <f t="shared" si="11"/>
        <v>0102</v>
      </c>
      <c r="B176" s="3" t="s">
        <v>10</v>
      </c>
      <c r="C176" s="3" t="str">
        <f>"王一诺"</f>
        <v>王一诺</v>
      </c>
      <c r="D176" s="3" t="str">
        <f t="shared" si="14"/>
        <v>女</v>
      </c>
      <c r="E176" s="3" t="str">
        <f>"2507010624"</f>
        <v>2507010624</v>
      </c>
      <c r="F176" s="3" t="str">
        <f t="shared" si="13"/>
        <v>06</v>
      </c>
      <c r="G176" s="4" t="str">
        <f>"24"</f>
        <v>24</v>
      </c>
      <c r="H176" s="5">
        <v>0</v>
      </c>
      <c r="I176" s="3" t="s">
        <v>11</v>
      </c>
    </row>
    <row r="177" customHeight="1" spans="1:9">
      <c r="A177" s="3" t="str">
        <f t="shared" si="11"/>
        <v>0102</v>
      </c>
      <c r="B177" s="3" t="s">
        <v>10</v>
      </c>
      <c r="C177" s="3" t="str">
        <f>"陈祥"</f>
        <v>陈祥</v>
      </c>
      <c r="D177" s="3" t="str">
        <f>"男"</f>
        <v>男</v>
      </c>
      <c r="E177" s="3" t="str">
        <f>"2507010625"</f>
        <v>2507010625</v>
      </c>
      <c r="F177" s="3" t="str">
        <f t="shared" si="13"/>
        <v>06</v>
      </c>
      <c r="G177" s="4" t="str">
        <f>"25"</f>
        <v>25</v>
      </c>
      <c r="H177" s="5">
        <v>74.5</v>
      </c>
      <c r="I177" s="3"/>
    </row>
    <row r="178" customHeight="1" spans="1:9">
      <c r="A178" s="3" t="str">
        <f t="shared" si="11"/>
        <v>0102</v>
      </c>
      <c r="B178" s="3" t="s">
        <v>10</v>
      </c>
      <c r="C178" s="3" t="str">
        <f>"李昭华"</f>
        <v>李昭华</v>
      </c>
      <c r="D178" s="3" t="str">
        <f>"女"</f>
        <v>女</v>
      </c>
      <c r="E178" s="3" t="str">
        <f>"2507010626"</f>
        <v>2507010626</v>
      </c>
      <c r="F178" s="3" t="str">
        <f t="shared" si="13"/>
        <v>06</v>
      </c>
      <c r="G178" s="4" t="str">
        <f>"26"</f>
        <v>26</v>
      </c>
      <c r="H178" s="5">
        <v>76.5</v>
      </c>
      <c r="I178" s="3"/>
    </row>
    <row r="179" customHeight="1" spans="1:9">
      <c r="A179" s="3" t="str">
        <f t="shared" si="11"/>
        <v>0102</v>
      </c>
      <c r="B179" s="3" t="s">
        <v>10</v>
      </c>
      <c r="C179" s="3" t="str">
        <f>"孟星晨"</f>
        <v>孟星晨</v>
      </c>
      <c r="D179" s="3" t="str">
        <f>"男"</f>
        <v>男</v>
      </c>
      <c r="E179" s="3" t="str">
        <f>"2507010627"</f>
        <v>2507010627</v>
      </c>
      <c r="F179" s="3" t="str">
        <f t="shared" si="13"/>
        <v>06</v>
      </c>
      <c r="G179" s="4" t="str">
        <f>"27"</f>
        <v>27</v>
      </c>
      <c r="H179" s="5">
        <v>73.5</v>
      </c>
      <c r="I179" s="3"/>
    </row>
    <row r="180" customHeight="1" spans="1:9">
      <c r="A180" s="3" t="str">
        <f t="shared" si="11"/>
        <v>0102</v>
      </c>
      <c r="B180" s="3" t="s">
        <v>10</v>
      </c>
      <c r="C180" s="3" t="str">
        <f>"岳迎新"</f>
        <v>岳迎新</v>
      </c>
      <c r="D180" s="3" t="str">
        <f t="shared" ref="D180:D193" si="15">"女"</f>
        <v>女</v>
      </c>
      <c r="E180" s="3" t="str">
        <f>"2507010628"</f>
        <v>2507010628</v>
      </c>
      <c r="F180" s="3" t="str">
        <f t="shared" si="13"/>
        <v>06</v>
      </c>
      <c r="G180" s="4" t="str">
        <f>"28"</f>
        <v>28</v>
      </c>
      <c r="H180" s="5">
        <v>72</v>
      </c>
      <c r="I180" s="3"/>
    </row>
    <row r="181" customHeight="1" spans="1:9">
      <c r="A181" s="3" t="str">
        <f t="shared" si="11"/>
        <v>0102</v>
      </c>
      <c r="B181" s="3" t="s">
        <v>10</v>
      </c>
      <c r="C181" s="3" t="str">
        <f>"魏淼"</f>
        <v>魏淼</v>
      </c>
      <c r="D181" s="3" t="str">
        <f t="shared" si="15"/>
        <v>女</v>
      </c>
      <c r="E181" s="3" t="str">
        <f>"2507010629"</f>
        <v>2507010629</v>
      </c>
      <c r="F181" s="3" t="str">
        <f t="shared" si="13"/>
        <v>06</v>
      </c>
      <c r="G181" s="4" t="str">
        <f>"29"</f>
        <v>29</v>
      </c>
      <c r="H181" s="5">
        <v>0</v>
      </c>
      <c r="I181" s="3" t="s">
        <v>11</v>
      </c>
    </row>
    <row r="182" customHeight="1" spans="1:9">
      <c r="A182" s="3" t="str">
        <f t="shared" si="11"/>
        <v>0102</v>
      </c>
      <c r="B182" s="3" t="s">
        <v>10</v>
      </c>
      <c r="C182" s="3" t="str">
        <f>"秦雪"</f>
        <v>秦雪</v>
      </c>
      <c r="D182" s="3" t="str">
        <f t="shared" si="15"/>
        <v>女</v>
      </c>
      <c r="E182" s="3" t="str">
        <f>"2507010630"</f>
        <v>2507010630</v>
      </c>
      <c r="F182" s="3" t="str">
        <f t="shared" si="13"/>
        <v>06</v>
      </c>
      <c r="G182" s="4" t="str">
        <f>"30"</f>
        <v>30</v>
      </c>
      <c r="H182" s="5">
        <v>58</v>
      </c>
      <c r="I182" s="3"/>
    </row>
    <row r="183" customHeight="1" spans="1:9">
      <c r="A183" s="3" t="str">
        <f t="shared" si="11"/>
        <v>0102</v>
      </c>
      <c r="B183" s="3" t="s">
        <v>10</v>
      </c>
      <c r="C183" s="3" t="str">
        <f>"程方敏"</f>
        <v>程方敏</v>
      </c>
      <c r="D183" s="3" t="str">
        <f t="shared" si="15"/>
        <v>女</v>
      </c>
      <c r="E183" s="3" t="str">
        <f>"2507010701"</f>
        <v>2507010701</v>
      </c>
      <c r="F183" s="3" t="str">
        <f t="shared" ref="F183:F212" si="16">"07"</f>
        <v>07</v>
      </c>
      <c r="G183" s="4" t="str">
        <f>"01"</f>
        <v>01</v>
      </c>
      <c r="H183" s="5">
        <v>71.5</v>
      </c>
      <c r="I183" s="3"/>
    </row>
    <row r="184" customHeight="1" spans="1:9">
      <c r="A184" s="3" t="str">
        <f t="shared" si="11"/>
        <v>0102</v>
      </c>
      <c r="B184" s="3" t="s">
        <v>10</v>
      </c>
      <c r="C184" s="3" t="str">
        <f>"张静"</f>
        <v>张静</v>
      </c>
      <c r="D184" s="3" t="str">
        <f t="shared" si="15"/>
        <v>女</v>
      </c>
      <c r="E184" s="3" t="str">
        <f>"2507010702"</f>
        <v>2507010702</v>
      </c>
      <c r="F184" s="3" t="str">
        <f t="shared" si="16"/>
        <v>07</v>
      </c>
      <c r="G184" s="4" t="str">
        <f>"02"</f>
        <v>02</v>
      </c>
      <c r="H184" s="5">
        <v>84</v>
      </c>
      <c r="I184" s="3"/>
    </row>
    <row r="185" customHeight="1" spans="1:9">
      <c r="A185" s="3" t="str">
        <f t="shared" si="11"/>
        <v>0102</v>
      </c>
      <c r="B185" s="3" t="s">
        <v>10</v>
      </c>
      <c r="C185" s="3" t="str">
        <f>"王茜"</f>
        <v>王茜</v>
      </c>
      <c r="D185" s="3" t="str">
        <f t="shared" si="15"/>
        <v>女</v>
      </c>
      <c r="E185" s="3" t="str">
        <f>"2507010703"</f>
        <v>2507010703</v>
      </c>
      <c r="F185" s="3" t="str">
        <f t="shared" si="16"/>
        <v>07</v>
      </c>
      <c r="G185" s="4" t="str">
        <f>"03"</f>
        <v>03</v>
      </c>
      <c r="H185" s="5">
        <v>79</v>
      </c>
      <c r="I185" s="3"/>
    </row>
    <row r="186" customHeight="1" spans="1:9">
      <c r="A186" s="3" t="str">
        <f t="shared" si="11"/>
        <v>0102</v>
      </c>
      <c r="B186" s="3" t="s">
        <v>10</v>
      </c>
      <c r="C186" s="3" t="str">
        <f>"吕雪"</f>
        <v>吕雪</v>
      </c>
      <c r="D186" s="3" t="str">
        <f t="shared" si="15"/>
        <v>女</v>
      </c>
      <c r="E186" s="3" t="str">
        <f>"2507010704"</f>
        <v>2507010704</v>
      </c>
      <c r="F186" s="3" t="str">
        <f t="shared" si="16"/>
        <v>07</v>
      </c>
      <c r="G186" s="4" t="str">
        <f>"04"</f>
        <v>04</v>
      </c>
      <c r="H186" s="5">
        <v>74.5</v>
      </c>
      <c r="I186" s="3"/>
    </row>
    <row r="187" customHeight="1" spans="1:9">
      <c r="A187" s="3" t="str">
        <f t="shared" si="11"/>
        <v>0102</v>
      </c>
      <c r="B187" s="3" t="s">
        <v>10</v>
      </c>
      <c r="C187" s="3" t="str">
        <f>"张艳霞"</f>
        <v>张艳霞</v>
      </c>
      <c r="D187" s="3" t="str">
        <f t="shared" si="15"/>
        <v>女</v>
      </c>
      <c r="E187" s="3" t="str">
        <f>"2507010705"</f>
        <v>2507010705</v>
      </c>
      <c r="F187" s="3" t="str">
        <f t="shared" si="16"/>
        <v>07</v>
      </c>
      <c r="G187" s="4" t="str">
        <f>"05"</f>
        <v>05</v>
      </c>
      <c r="H187" s="5">
        <v>0</v>
      </c>
      <c r="I187" s="3" t="s">
        <v>11</v>
      </c>
    </row>
    <row r="188" customHeight="1" spans="1:9">
      <c r="A188" s="3" t="str">
        <f t="shared" si="11"/>
        <v>0102</v>
      </c>
      <c r="B188" s="3" t="s">
        <v>10</v>
      </c>
      <c r="C188" s="3" t="str">
        <f>"井继祥"</f>
        <v>井继祥</v>
      </c>
      <c r="D188" s="3" t="str">
        <f t="shared" si="15"/>
        <v>女</v>
      </c>
      <c r="E188" s="3" t="str">
        <f>"2507010706"</f>
        <v>2507010706</v>
      </c>
      <c r="F188" s="3" t="str">
        <f t="shared" si="16"/>
        <v>07</v>
      </c>
      <c r="G188" s="4" t="str">
        <f>"06"</f>
        <v>06</v>
      </c>
      <c r="H188" s="5">
        <v>73.5</v>
      </c>
      <c r="I188" s="3"/>
    </row>
    <row r="189" customHeight="1" spans="1:9">
      <c r="A189" s="3" t="str">
        <f t="shared" si="11"/>
        <v>0102</v>
      </c>
      <c r="B189" s="3" t="s">
        <v>10</v>
      </c>
      <c r="C189" s="3" t="str">
        <f>"张乔牧"</f>
        <v>张乔牧</v>
      </c>
      <c r="D189" s="3" t="str">
        <f t="shared" si="15"/>
        <v>女</v>
      </c>
      <c r="E189" s="3" t="str">
        <f>"2507010707"</f>
        <v>2507010707</v>
      </c>
      <c r="F189" s="3" t="str">
        <f t="shared" si="16"/>
        <v>07</v>
      </c>
      <c r="G189" s="4" t="str">
        <f>"07"</f>
        <v>07</v>
      </c>
      <c r="H189" s="5">
        <v>75</v>
      </c>
      <c r="I189" s="3"/>
    </row>
    <row r="190" customHeight="1" spans="1:9">
      <c r="A190" s="3" t="str">
        <f t="shared" si="11"/>
        <v>0102</v>
      </c>
      <c r="B190" s="3" t="s">
        <v>10</v>
      </c>
      <c r="C190" s="3" t="str">
        <f>"孙芯茹"</f>
        <v>孙芯茹</v>
      </c>
      <c r="D190" s="3" t="str">
        <f t="shared" si="15"/>
        <v>女</v>
      </c>
      <c r="E190" s="3" t="str">
        <f>"2507010708"</f>
        <v>2507010708</v>
      </c>
      <c r="F190" s="3" t="str">
        <f t="shared" si="16"/>
        <v>07</v>
      </c>
      <c r="G190" s="4" t="str">
        <f>"08"</f>
        <v>08</v>
      </c>
      <c r="H190" s="5">
        <v>76.5</v>
      </c>
      <c r="I190" s="3"/>
    </row>
    <row r="191" customHeight="1" spans="1:9">
      <c r="A191" s="3" t="str">
        <f t="shared" si="11"/>
        <v>0102</v>
      </c>
      <c r="B191" s="3" t="s">
        <v>10</v>
      </c>
      <c r="C191" s="3" t="str">
        <f>"朱玉茜"</f>
        <v>朱玉茜</v>
      </c>
      <c r="D191" s="3" t="str">
        <f t="shared" si="15"/>
        <v>女</v>
      </c>
      <c r="E191" s="3" t="str">
        <f>"2507010709"</f>
        <v>2507010709</v>
      </c>
      <c r="F191" s="3" t="str">
        <f t="shared" si="16"/>
        <v>07</v>
      </c>
      <c r="G191" s="4" t="str">
        <f>"09"</f>
        <v>09</v>
      </c>
      <c r="H191" s="5">
        <v>79.5</v>
      </c>
      <c r="I191" s="3"/>
    </row>
    <row r="192" customHeight="1" spans="1:9">
      <c r="A192" s="3" t="str">
        <f t="shared" si="11"/>
        <v>0102</v>
      </c>
      <c r="B192" s="3" t="s">
        <v>10</v>
      </c>
      <c r="C192" s="3" t="str">
        <f>"陈敏"</f>
        <v>陈敏</v>
      </c>
      <c r="D192" s="3" t="str">
        <f t="shared" si="15"/>
        <v>女</v>
      </c>
      <c r="E192" s="3" t="str">
        <f>"2507010710"</f>
        <v>2507010710</v>
      </c>
      <c r="F192" s="3" t="str">
        <f t="shared" si="16"/>
        <v>07</v>
      </c>
      <c r="G192" s="4" t="str">
        <f>"10"</f>
        <v>10</v>
      </c>
      <c r="H192" s="5">
        <v>64.5</v>
      </c>
      <c r="I192" s="3"/>
    </row>
    <row r="193" customHeight="1" spans="1:9">
      <c r="A193" s="3" t="str">
        <f t="shared" si="11"/>
        <v>0102</v>
      </c>
      <c r="B193" s="3" t="s">
        <v>10</v>
      </c>
      <c r="C193" s="3" t="str">
        <f>"臧欣"</f>
        <v>臧欣</v>
      </c>
      <c r="D193" s="3" t="str">
        <f t="shared" si="15"/>
        <v>女</v>
      </c>
      <c r="E193" s="3" t="str">
        <f>"2507010711"</f>
        <v>2507010711</v>
      </c>
      <c r="F193" s="3" t="str">
        <f t="shared" si="16"/>
        <v>07</v>
      </c>
      <c r="G193" s="4" t="str">
        <f>"11"</f>
        <v>11</v>
      </c>
      <c r="H193" s="5">
        <v>0</v>
      </c>
      <c r="I193" s="3" t="s">
        <v>11</v>
      </c>
    </row>
    <row r="194" customHeight="1" spans="1:9">
      <c r="A194" s="3" t="str">
        <f t="shared" si="11"/>
        <v>0102</v>
      </c>
      <c r="B194" s="3" t="s">
        <v>10</v>
      </c>
      <c r="C194" s="3" t="str">
        <f>"王帅"</f>
        <v>王帅</v>
      </c>
      <c r="D194" s="3" t="str">
        <f>"男"</f>
        <v>男</v>
      </c>
      <c r="E194" s="3" t="str">
        <f>"2507010712"</f>
        <v>2507010712</v>
      </c>
      <c r="F194" s="3" t="str">
        <f t="shared" si="16"/>
        <v>07</v>
      </c>
      <c r="G194" s="4" t="str">
        <f>"12"</f>
        <v>12</v>
      </c>
      <c r="H194" s="5">
        <v>0</v>
      </c>
      <c r="I194" s="3" t="s">
        <v>11</v>
      </c>
    </row>
    <row r="195" customHeight="1" spans="1:9">
      <c r="A195" s="3" t="str">
        <f t="shared" ref="A195:A258" si="17">"0102"</f>
        <v>0102</v>
      </c>
      <c r="B195" s="3" t="s">
        <v>10</v>
      </c>
      <c r="C195" s="3" t="str">
        <f>"姚铸鎏"</f>
        <v>姚铸鎏</v>
      </c>
      <c r="D195" s="3" t="str">
        <f>"男"</f>
        <v>男</v>
      </c>
      <c r="E195" s="3" t="str">
        <f>"2507010713"</f>
        <v>2507010713</v>
      </c>
      <c r="F195" s="3" t="str">
        <f t="shared" si="16"/>
        <v>07</v>
      </c>
      <c r="G195" s="4" t="str">
        <f>"13"</f>
        <v>13</v>
      </c>
      <c r="H195" s="5">
        <v>70.5</v>
      </c>
      <c r="I195" s="3"/>
    </row>
    <row r="196" customHeight="1" spans="1:9">
      <c r="A196" s="3" t="str">
        <f t="shared" si="17"/>
        <v>0102</v>
      </c>
      <c r="B196" s="3" t="s">
        <v>10</v>
      </c>
      <c r="C196" s="3" t="str">
        <f>"谢敏"</f>
        <v>谢敏</v>
      </c>
      <c r="D196" s="3" t="str">
        <f t="shared" ref="D196:D205" si="18">"女"</f>
        <v>女</v>
      </c>
      <c r="E196" s="3" t="str">
        <f>"2507010714"</f>
        <v>2507010714</v>
      </c>
      <c r="F196" s="3" t="str">
        <f t="shared" si="16"/>
        <v>07</v>
      </c>
      <c r="G196" s="4" t="str">
        <f>"14"</f>
        <v>14</v>
      </c>
      <c r="H196" s="5">
        <v>62.5</v>
      </c>
      <c r="I196" s="3"/>
    </row>
    <row r="197" customHeight="1" spans="1:9">
      <c r="A197" s="3" t="str">
        <f t="shared" si="17"/>
        <v>0102</v>
      </c>
      <c r="B197" s="3" t="s">
        <v>10</v>
      </c>
      <c r="C197" s="3" t="str">
        <f>"杨贺"</f>
        <v>杨贺</v>
      </c>
      <c r="D197" s="3" t="str">
        <f t="shared" si="18"/>
        <v>女</v>
      </c>
      <c r="E197" s="3" t="str">
        <f>"2507010715"</f>
        <v>2507010715</v>
      </c>
      <c r="F197" s="3" t="str">
        <f t="shared" si="16"/>
        <v>07</v>
      </c>
      <c r="G197" s="4" t="str">
        <f>"15"</f>
        <v>15</v>
      </c>
      <c r="H197" s="5">
        <v>69</v>
      </c>
      <c r="I197" s="3"/>
    </row>
    <row r="198" customHeight="1" spans="1:9">
      <c r="A198" s="3" t="str">
        <f t="shared" si="17"/>
        <v>0102</v>
      </c>
      <c r="B198" s="3" t="s">
        <v>10</v>
      </c>
      <c r="C198" s="3" t="str">
        <f>"衡淼"</f>
        <v>衡淼</v>
      </c>
      <c r="D198" s="3" t="str">
        <f t="shared" si="18"/>
        <v>女</v>
      </c>
      <c r="E198" s="3" t="str">
        <f>"2507010716"</f>
        <v>2507010716</v>
      </c>
      <c r="F198" s="3" t="str">
        <f t="shared" si="16"/>
        <v>07</v>
      </c>
      <c r="G198" s="4" t="str">
        <f>"16"</f>
        <v>16</v>
      </c>
      <c r="H198" s="5">
        <v>70.5</v>
      </c>
      <c r="I198" s="3"/>
    </row>
    <row r="199" customHeight="1" spans="1:9">
      <c r="A199" s="3" t="str">
        <f t="shared" si="17"/>
        <v>0102</v>
      </c>
      <c r="B199" s="3" t="s">
        <v>10</v>
      </c>
      <c r="C199" s="3" t="str">
        <f>"周寒冰"</f>
        <v>周寒冰</v>
      </c>
      <c r="D199" s="3" t="str">
        <f t="shared" si="18"/>
        <v>女</v>
      </c>
      <c r="E199" s="3" t="str">
        <f>"2507010717"</f>
        <v>2507010717</v>
      </c>
      <c r="F199" s="3" t="str">
        <f t="shared" si="16"/>
        <v>07</v>
      </c>
      <c r="G199" s="4" t="str">
        <f>"17"</f>
        <v>17</v>
      </c>
      <c r="H199" s="5">
        <v>0</v>
      </c>
      <c r="I199" s="3" t="s">
        <v>11</v>
      </c>
    </row>
    <row r="200" customHeight="1" spans="1:9">
      <c r="A200" s="3" t="str">
        <f t="shared" si="17"/>
        <v>0102</v>
      </c>
      <c r="B200" s="3" t="s">
        <v>10</v>
      </c>
      <c r="C200" s="3" t="str">
        <f>"张敏"</f>
        <v>张敏</v>
      </c>
      <c r="D200" s="3" t="str">
        <f t="shared" si="18"/>
        <v>女</v>
      </c>
      <c r="E200" s="3" t="str">
        <f>"2507010718"</f>
        <v>2507010718</v>
      </c>
      <c r="F200" s="3" t="str">
        <f t="shared" si="16"/>
        <v>07</v>
      </c>
      <c r="G200" s="4" t="str">
        <f>"18"</f>
        <v>18</v>
      </c>
      <c r="H200" s="5">
        <v>73.5</v>
      </c>
      <c r="I200" s="3"/>
    </row>
    <row r="201" customHeight="1" spans="1:9">
      <c r="A201" s="3" t="str">
        <f t="shared" si="17"/>
        <v>0102</v>
      </c>
      <c r="B201" s="3" t="s">
        <v>10</v>
      </c>
      <c r="C201" s="3" t="str">
        <f>"石薇薇"</f>
        <v>石薇薇</v>
      </c>
      <c r="D201" s="3" t="str">
        <f t="shared" si="18"/>
        <v>女</v>
      </c>
      <c r="E201" s="3" t="str">
        <f>"2507010719"</f>
        <v>2507010719</v>
      </c>
      <c r="F201" s="3" t="str">
        <f t="shared" si="16"/>
        <v>07</v>
      </c>
      <c r="G201" s="4" t="str">
        <f>"19"</f>
        <v>19</v>
      </c>
      <c r="H201" s="5">
        <v>77</v>
      </c>
      <c r="I201" s="3"/>
    </row>
    <row r="202" customHeight="1" spans="1:9">
      <c r="A202" s="3" t="str">
        <f t="shared" si="17"/>
        <v>0102</v>
      </c>
      <c r="B202" s="3" t="s">
        <v>10</v>
      </c>
      <c r="C202" s="3" t="str">
        <f>"鹿丹"</f>
        <v>鹿丹</v>
      </c>
      <c r="D202" s="3" t="str">
        <f t="shared" si="18"/>
        <v>女</v>
      </c>
      <c r="E202" s="3" t="str">
        <f>"2507010720"</f>
        <v>2507010720</v>
      </c>
      <c r="F202" s="3" t="str">
        <f t="shared" si="16"/>
        <v>07</v>
      </c>
      <c r="G202" s="4" t="str">
        <f>"20"</f>
        <v>20</v>
      </c>
      <c r="H202" s="5">
        <v>78.5</v>
      </c>
      <c r="I202" s="3"/>
    </row>
    <row r="203" customHeight="1" spans="1:9">
      <c r="A203" s="3" t="str">
        <f t="shared" si="17"/>
        <v>0102</v>
      </c>
      <c r="B203" s="3" t="s">
        <v>10</v>
      </c>
      <c r="C203" s="3" t="str">
        <f>"刘婉"</f>
        <v>刘婉</v>
      </c>
      <c r="D203" s="3" t="str">
        <f t="shared" si="18"/>
        <v>女</v>
      </c>
      <c r="E203" s="3" t="str">
        <f>"2507010721"</f>
        <v>2507010721</v>
      </c>
      <c r="F203" s="3" t="str">
        <f t="shared" si="16"/>
        <v>07</v>
      </c>
      <c r="G203" s="4" t="str">
        <f>"21"</f>
        <v>21</v>
      </c>
      <c r="H203" s="5">
        <v>81</v>
      </c>
      <c r="I203" s="3"/>
    </row>
    <row r="204" customHeight="1" spans="1:9">
      <c r="A204" s="3" t="str">
        <f t="shared" si="17"/>
        <v>0102</v>
      </c>
      <c r="B204" s="3" t="s">
        <v>10</v>
      </c>
      <c r="C204" s="3" t="str">
        <f>"薛玥"</f>
        <v>薛玥</v>
      </c>
      <c r="D204" s="3" t="str">
        <f t="shared" si="18"/>
        <v>女</v>
      </c>
      <c r="E204" s="3" t="str">
        <f>"2507010722"</f>
        <v>2507010722</v>
      </c>
      <c r="F204" s="3" t="str">
        <f t="shared" si="16"/>
        <v>07</v>
      </c>
      <c r="G204" s="4" t="str">
        <f>"22"</f>
        <v>22</v>
      </c>
      <c r="H204" s="5">
        <v>76</v>
      </c>
      <c r="I204" s="3"/>
    </row>
    <row r="205" customHeight="1" spans="1:9">
      <c r="A205" s="3" t="str">
        <f t="shared" si="17"/>
        <v>0102</v>
      </c>
      <c r="B205" s="3" t="s">
        <v>10</v>
      </c>
      <c r="C205" s="3" t="str">
        <f>"傅黄梦雪"</f>
        <v>傅黄梦雪</v>
      </c>
      <c r="D205" s="3" t="str">
        <f t="shared" si="18"/>
        <v>女</v>
      </c>
      <c r="E205" s="3" t="str">
        <f>"2507010723"</f>
        <v>2507010723</v>
      </c>
      <c r="F205" s="3" t="str">
        <f t="shared" si="16"/>
        <v>07</v>
      </c>
      <c r="G205" s="4" t="str">
        <f>"23"</f>
        <v>23</v>
      </c>
      <c r="H205" s="5">
        <v>0</v>
      </c>
      <c r="I205" s="3" t="s">
        <v>11</v>
      </c>
    </row>
    <row r="206" customHeight="1" spans="1:9">
      <c r="A206" s="3" t="str">
        <f t="shared" si="17"/>
        <v>0102</v>
      </c>
      <c r="B206" s="3" t="s">
        <v>10</v>
      </c>
      <c r="C206" s="3" t="str">
        <f>"曹城铭"</f>
        <v>曹城铭</v>
      </c>
      <c r="D206" s="3" t="str">
        <f>"男"</f>
        <v>男</v>
      </c>
      <c r="E206" s="3" t="str">
        <f>"2507010724"</f>
        <v>2507010724</v>
      </c>
      <c r="F206" s="3" t="str">
        <f t="shared" si="16"/>
        <v>07</v>
      </c>
      <c r="G206" s="4" t="str">
        <f>"24"</f>
        <v>24</v>
      </c>
      <c r="H206" s="5">
        <v>74.5</v>
      </c>
      <c r="I206" s="3"/>
    </row>
    <row r="207" customHeight="1" spans="1:9">
      <c r="A207" s="3" t="str">
        <f t="shared" si="17"/>
        <v>0102</v>
      </c>
      <c r="B207" s="3" t="s">
        <v>10</v>
      </c>
      <c r="C207" s="3" t="str">
        <f>"崔馨月"</f>
        <v>崔馨月</v>
      </c>
      <c r="D207" s="3" t="str">
        <f t="shared" ref="D207:D218" si="19">"女"</f>
        <v>女</v>
      </c>
      <c r="E207" s="3" t="str">
        <f>"2507010725"</f>
        <v>2507010725</v>
      </c>
      <c r="F207" s="3" t="str">
        <f t="shared" si="16"/>
        <v>07</v>
      </c>
      <c r="G207" s="4" t="str">
        <f>"25"</f>
        <v>25</v>
      </c>
      <c r="H207" s="5">
        <v>77</v>
      </c>
      <c r="I207" s="3"/>
    </row>
    <row r="208" customHeight="1" spans="1:9">
      <c r="A208" s="3" t="str">
        <f t="shared" si="17"/>
        <v>0102</v>
      </c>
      <c r="B208" s="3" t="s">
        <v>10</v>
      </c>
      <c r="C208" s="3" t="str">
        <f>"刘莉"</f>
        <v>刘莉</v>
      </c>
      <c r="D208" s="3" t="str">
        <f t="shared" si="19"/>
        <v>女</v>
      </c>
      <c r="E208" s="3" t="str">
        <f>"2507010726"</f>
        <v>2507010726</v>
      </c>
      <c r="F208" s="3" t="str">
        <f t="shared" si="16"/>
        <v>07</v>
      </c>
      <c r="G208" s="4" t="str">
        <f>"26"</f>
        <v>26</v>
      </c>
      <c r="H208" s="5">
        <v>66</v>
      </c>
      <c r="I208" s="3"/>
    </row>
    <row r="209" customHeight="1" spans="1:9">
      <c r="A209" s="3" t="str">
        <f t="shared" si="17"/>
        <v>0102</v>
      </c>
      <c r="B209" s="3" t="s">
        <v>10</v>
      </c>
      <c r="C209" s="3" t="str">
        <f>"王瑞瑞"</f>
        <v>王瑞瑞</v>
      </c>
      <c r="D209" s="3" t="str">
        <f t="shared" si="19"/>
        <v>女</v>
      </c>
      <c r="E209" s="3" t="str">
        <f>"2507010727"</f>
        <v>2507010727</v>
      </c>
      <c r="F209" s="3" t="str">
        <f t="shared" si="16"/>
        <v>07</v>
      </c>
      <c r="G209" s="4" t="str">
        <f>"27"</f>
        <v>27</v>
      </c>
      <c r="H209" s="5">
        <v>72.5</v>
      </c>
      <c r="I209" s="3"/>
    </row>
    <row r="210" customHeight="1" spans="1:9">
      <c r="A210" s="3" t="str">
        <f t="shared" si="17"/>
        <v>0102</v>
      </c>
      <c r="B210" s="3" t="s">
        <v>10</v>
      </c>
      <c r="C210" s="3" t="str">
        <f>"张吉芳"</f>
        <v>张吉芳</v>
      </c>
      <c r="D210" s="3" t="str">
        <f t="shared" si="19"/>
        <v>女</v>
      </c>
      <c r="E210" s="3" t="str">
        <f>"2507010728"</f>
        <v>2507010728</v>
      </c>
      <c r="F210" s="3" t="str">
        <f t="shared" si="16"/>
        <v>07</v>
      </c>
      <c r="G210" s="4" t="str">
        <f>"28"</f>
        <v>28</v>
      </c>
      <c r="H210" s="5">
        <v>75.5</v>
      </c>
      <c r="I210" s="3"/>
    </row>
    <row r="211" customHeight="1" spans="1:9">
      <c r="A211" s="3" t="str">
        <f t="shared" si="17"/>
        <v>0102</v>
      </c>
      <c r="B211" s="3" t="s">
        <v>10</v>
      </c>
      <c r="C211" s="3" t="str">
        <f>"刘瑾"</f>
        <v>刘瑾</v>
      </c>
      <c r="D211" s="3" t="str">
        <f t="shared" si="19"/>
        <v>女</v>
      </c>
      <c r="E211" s="3" t="str">
        <f>"2507010729"</f>
        <v>2507010729</v>
      </c>
      <c r="F211" s="3" t="str">
        <f t="shared" si="16"/>
        <v>07</v>
      </c>
      <c r="G211" s="4" t="str">
        <f>"29"</f>
        <v>29</v>
      </c>
      <c r="H211" s="5">
        <v>80</v>
      </c>
      <c r="I211" s="3"/>
    </row>
    <row r="212" customHeight="1" spans="1:9">
      <c r="A212" s="3" t="str">
        <f t="shared" si="17"/>
        <v>0102</v>
      </c>
      <c r="B212" s="3" t="s">
        <v>10</v>
      </c>
      <c r="C212" s="3" t="str">
        <f>"李晓涵"</f>
        <v>李晓涵</v>
      </c>
      <c r="D212" s="3" t="str">
        <f t="shared" si="19"/>
        <v>女</v>
      </c>
      <c r="E212" s="3" t="str">
        <f>"2507010730"</f>
        <v>2507010730</v>
      </c>
      <c r="F212" s="3" t="str">
        <f t="shared" si="16"/>
        <v>07</v>
      </c>
      <c r="G212" s="4" t="str">
        <f>"30"</f>
        <v>30</v>
      </c>
      <c r="H212" s="5">
        <v>0</v>
      </c>
      <c r="I212" s="3" t="s">
        <v>11</v>
      </c>
    </row>
    <row r="213" customHeight="1" spans="1:9">
      <c r="A213" s="3" t="str">
        <f t="shared" si="17"/>
        <v>0102</v>
      </c>
      <c r="B213" s="3" t="s">
        <v>10</v>
      </c>
      <c r="C213" s="3" t="str">
        <f>"高星密"</f>
        <v>高星密</v>
      </c>
      <c r="D213" s="3" t="str">
        <f t="shared" si="19"/>
        <v>女</v>
      </c>
      <c r="E213" s="3" t="str">
        <f>"2507010801"</f>
        <v>2507010801</v>
      </c>
      <c r="F213" s="3" t="str">
        <f t="shared" ref="F213:F242" si="20">"08"</f>
        <v>08</v>
      </c>
      <c r="G213" s="4" t="str">
        <f>"01"</f>
        <v>01</v>
      </c>
      <c r="H213" s="5">
        <v>79.5</v>
      </c>
      <c r="I213" s="3"/>
    </row>
    <row r="214" customHeight="1" spans="1:9">
      <c r="A214" s="3" t="str">
        <f t="shared" si="17"/>
        <v>0102</v>
      </c>
      <c r="B214" s="3" t="s">
        <v>10</v>
      </c>
      <c r="C214" s="3" t="str">
        <f>"朱静媛"</f>
        <v>朱静媛</v>
      </c>
      <c r="D214" s="3" t="str">
        <f t="shared" si="19"/>
        <v>女</v>
      </c>
      <c r="E214" s="3" t="str">
        <f>"2507010802"</f>
        <v>2507010802</v>
      </c>
      <c r="F214" s="3" t="str">
        <f t="shared" si="20"/>
        <v>08</v>
      </c>
      <c r="G214" s="4" t="str">
        <f>"02"</f>
        <v>02</v>
      </c>
      <c r="H214" s="5">
        <v>0</v>
      </c>
      <c r="I214" s="3" t="s">
        <v>11</v>
      </c>
    </row>
    <row r="215" customHeight="1" spans="1:9">
      <c r="A215" s="3" t="str">
        <f t="shared" si="17"/>
        <v>0102</v>
      </c>
      <c r="B215" s="3" t="s">
        <v>10</v>
      </c>
      <c r="C215" s="3" t="str">
        <f>"张旋"</f>
        <v>张旋</v>
      </c>
      <c r="D215" s="3" t="str">
        <f t="shared" si="19"/>
        <v>女</v>
      </c>
      <c r="E215" s="3" t="str">
        <f>"2507010803"</f>
        <v>2507010803</v>
      </c>
      <c r="F215" s="3" t="str">
        <f t="shared" si="20"/>
        <v>08</v>
      </c>
      <c r="G215" s="4" t="str">
        <f>"03"</f>
        <v>03</v>
      </c>
      <c r="H215" s="5">
        <v>71</v>
      </c>
      <c r="I215" s="3"/>
    </row>
    <row r="216" customHeight="1" spans="1:9">
      <c r="A216" s="3" t="str">
        <f t="shared" si="17"/>
        <v>0102</v>
      </c>
      <c r="B216" s="3" t="s">
        <v>10</v>
      </c>
      <c r="C216" s="3" t="str">
        <f>"李珍"</f>
        <v>李珍</v>
      </c>
      <c r="D216" s="3" t="str">
        <f t="shared" si="19"/>
        <v>女</v>
      </c>
      <c r="E216" s="3" t="str">
        <f>"2507010804"</f>
        <v>2507010804</v>
      </c>
      <c r="F216" s="3" t="str">
        <f t="shared" si="20"/>
        <v>08</v>
      </c>
      <c r="G216" s="4" t="str">
        <f>"04"</f>
        <v>04</v>
      </c>
      <c r="H216" s="5">
        <v>83</v>
      </c>
      <c r="I216" s="3"/>
    </row>
    <row r="217" customHeight="1" spans="1:9">
      <c r="A217" s="3" t="str">
        <f t="shared" si="17"/>
        <v>0102</v>
      </c>
      <c r="B217" s="3" t="s">
        <v>10</v>
      </c>
      <c r="C217" s="3" t="str">
        <f>"韩雅婷"</f>
        <v>韩雅婷</v>
      </c>
      <c r="D217" s="3" t="str">
        <f t="shared" si="19"/>
        <v>女</v>
      </c>
      <c r="E217" s="3" t="str">
        <f>"2507010805"</f>
        <v>2507010805</v>
      </c>
      <c r="F217" s="3" t="str">
        <f t="shared" si="20"/>
        <v>08</v>
      </c>
      <c r="G217" s="4" t="str">
        <f>"05"</f>
        <v>05</v>
      </c>
      <c r="H217" s="5">
        <v>0</v>
      </c>
      <c r="I217" s="3" t="s">
        <v>11</v>
      </c>
    </row>
    <row r="218" customHeight="1" spans="1:9">
      <c r="A218" s="3" t="str">
        <f t="shared" si="17"/>
        <v>0102</v>
      </c>
      <c r="B218" s="3" t="s">
        <v>10</v>
      </c>
      <c r="C218" s="3" t="str">
        <f>"韩天奇"</f>
        <v>韩天奇</v>
      </c>
      <c r="D218" s="3" t="str">
        <f t="shared" si="19"/>
        <v>女</v>
      </c>
      <c r="E218" s="3" t="str">
        <f>"2507010806"</f>
        <v>2507010806</v>
      </c>
      <c r="F218" s="3" t="str">
        <f t="shared" si="20"/>
        <v>08</v>
      </c>
      <c r="G218" s="4" t="str">
        <f>"06"</f>
        <v>06</v>
      </c>
      <c r="H218" s="5">
        <v>81</v>
      </c>
      <c r="I218" s="3"/>
    </row>
    <row r="219" customHeight="1" spans="1:9">
      <c r="A219" s="3" t="str">
        <f t="shared" si="17"/>
        <v>0102</v>
      </c>
      <c r="B219" s="3" t="s">
        <v>10</v>
      </c>
      <c r="C219" s="3" t="str">
        <f>"张高旭"</f>
        <v>张高旭</v>
      </c>
      <c r="D219" s="3" t="str">
        <f>"男"</f>
        <v>男</v>
      </c>
      <c r="E219" s="3" t="str">
        <f>"2507010807"</f>
        <v>2507010807</v>
      </c>
      <c r="F219" s="3" t="str">
        <f t="shared" si="20"/>
        <v>08</v>
      </c>
      <c r="G219" s="4" t="str">
        <f>"07"</f>
        <v>07</v>
      </c>
      <c r="H219" s="5">
        <v>79</v>
      </c>
      <c r="I219" s="3"/>
    </row>
    <row r="220" customHeight="1" spans="1:9">
      <c r="A220" s="3" t="str">
        <f t="shared" si="17"/>
        <v>0102</v>
      </c>
      <c r="B220" s="3" t="s">
        <v>10</v>
      </c>
      <c r="C220" s="3" t="str">
        <f>"王倩"</f>
        <v>王倩</v>
      </c>
      <c r="D220" s="3" t="str">
        <f>"女"</f>
        <v>女</v>
      </c>
      <c r="E220" s="3" t="str">
        <f>"2507010808"</f>
        <v>2507010808</v>
      </c>
      <c r="F220" s="3" t="str">
        <f t="shared" si="20"/>
        <v>08</v>
      </c>
      <c r="G220" s="4" t="str">
        <f>"08"</f>
        <v>08</v>
      </c>
      <c r="H220" s="5">
        <v>77</v>
      </c>
      <c r="I220" s="3"/>
    </row>
    <row r="221" customHeight="1" spans="1:9">
      <c r="A221" s="3" t="str">
        <f t="shared" si="17"/>
        <v>0102</v>
      </c>
      <c r="B221" s="3" t="s">
        <v>10</v>
      </c>
      <c r="C221" s="3" t="str">
        <f>"张昕驰"</f>
        <v>张昕驰</v>
      </c>
      <c r="D221" s="3" t="str">
        <f>"男"</f>
        <v>男</v>
      </c>
      <c r="E221" s="3" t="str">
        <f>"2507010809"</f>
        <v>2507010809</v>
      </c>
      <c r="F221" s="3" t="str">
        <f t="shared" si="20"/>
        <v>08</v>
      </c>
      <c r="G221" s="4" t="str">
        <f>"09"</f>
        <v>09</v>
      </c>
      <c r="H221" s="5">
        <v>0</v>
      </c>
      <c r="I221" s="3" t="s">
        <v>11</v>
      </c>
    </row>
    <row r="222" customHeight="1" spans="1:9">
      <c r="A222" s="3" t="str">
        <f t="shared" si="17"/>
        <v>0102</v>
      </c>
      <c r="B222" s="3" t="s">
        <v>10</v>
      </c>
      <c r="C222" s="3" t="str">
        <f>"耿阳阳"</f>
        <v>耿阳阳</v>
      </c>
      <c r="D222" s="3" t="str">
        <f>"女"</f>
        <v>女</v>
      </c>
      <c r="E222" s="3" t="str">
        <f>"2507010810"</f>
        <v>2507010810</v>
      </c>
      <c r="F222" s="3" t="str">
        <f t="shared" si="20"/>
        <v>08</v>
      </c>
      <c r="G222" s="4" t="str">
        <f>"10"</f>
        <v>10</v>
      </c>
      <c r="H222" s="5">
        <v>70</v>
      </c>
      <c r="I222" s="3"/>
    </row>
    <row r="223" customHeight="1" spans="1:9">
      <c r="A223" s="3" t="str">
        <f t="shared" si="17"/>
        <v>0102</v>
      </c>
      <c r="B223" s="3" t="s">
        <v>10</v>
      </c>
      <c r="C223" s="3" t="str">
        <f>"张笑玉"</f>
        <v>张笑玉</v>
      </c>
      <c r="D223" s="3" t="str">
        <f>"女"</f>
        <v>女</v>
      </c>
      <c r="E223" s="3" t="str">
        <f>"2507010811"</f>
        <v>2507010811</v>
      </c>
      <c r="F223" s="3" t="str">
        <f t="shared" si="20"/>
        <v>08</v>
      </c>
      <c r="G223" s="4" t="str">
        <f>"11"</f>
        <v>11</v>
      </c>
      <c r="H223" s="5">
        <v>69.5</v>
      </c>
      <c r="I223" s="3"/>
    </row>
    <row r="224" customHeight="1" spans="1:9">
      <c r="A224" s="3" t="str">
        <f t="shared" si="17"/>
        <v>0102</v>
      </c>
      <c r="B224" s="3" t="s">
        <v>10</v>
      </c>
      <c r="C224" s="3" t="str">
        <f>"潘越"</f>
        <v>潘越</v>
      </c>
      <c r="D224" s="3" t="str">
        <f>"女"</f>
        <v>女</v>
      </c>
      <c r="E224" s="3" t="str">
        <f>"2507010812"</f>
        <v>2507010812</v>
      </c>
      <c r="F224" s="3" t="str">
        <f t="shared" si="20"/>
        <v>08</v>
      </c>
      <c r="G224" s="4" t="str">
        <f>"12"</f>
        <v>12</v>
      </c>
      <c r="H224" s="5">
        <v>0</v>
      </c>
      <c r="I224" s="3" t="s">
        <v>11</v>
      </c>
    </row>
    <row r="225" customHeight="1" spans="1:9">
      <c r="A225" s="3" t="str">
        <f t="shared" si="17"/>
        <v>0102</v>
      </c>
      <c r="B225" s="3" t="s">
        <v>10</v>
      </c>
      <c r="C225" s="3" t="str">
        <f>"秦凤"</f>
        <v>秦凤</v>
      </c>
      <c r="D225" s="3" t="str">
        <f>"女"</f>
        <v>女</v>
      </c>
      <c r="E225" s="3" t="str">
        <f>"2507010813"</f>
        <v>2507010813</v>
      </c>
      <c r="F225" s="3" t="str">
        <f t="shared" si="20"/>
        <v>08</v>
      </c>
      <c r="G225" s="4" t="str">
        <f>"13"</f>
        <v>13</v>
      </c>
      <c r="H225" s="5">
        <v>67.5</v>
      </c>
      <c r="I225" s="3"/>
    </row>
    <row r="226" customHeight="1" spans="1:9">
      <c r="A226" s="3" t="str">
        <f t="shared" si="17"/>
        <v>0102</v>
      </c>
      <c r="B226" s="3" t="s">
        <v>10</v>
      </c>
      <c r="C226" s="3" t="str">
        <f>"殷微微"</f>
        <v>殷微微</v>
      </c>
      <c r="D226" s="3" t="str">
        <f>"女"</f>
        <v>女</v>
      </c>
      <c r="E226" s="3" t="str">
        <f>"2507010814"</f>
        <v>2507010814</v>
      </c>
      <c r="F226" s="3" t="str">
        <f t="shared" si="20"/>
        <v>08</v>
      </c>
      <c r="G226" s="4" t="str">
        <f>"14"</f>
        <v>14</v>
      </c>
      <c r="H226" s="5">
        <v>74.5</v>
      </c>
      <c r="I226" s="3"/>
    </row>
    <row r="227" customHeight="1" spans="1:9">
      <c r="A227" s="3" t="str">
        <f t="shared" si="17"/>
        <v>0102</v>
      </c>
      <c r="B227" s="3" t="s">
        <v>10</v>
      </c>
      <c r="C227" s="3" t="str">
        <f>"姬国淞"</f>
        <v>姬国淞</v>
      </c>
      <c r="D227" s="3" t="str">
        <f>"男"</f>
        <v>男</v>
      </c>
      <c r="E227" s="3" t="str">
        <f>"2507010815"</f>
        <v>2507010815</v>
      </c>
      <c r="F227" s="3" t="str">
        <f t="shared" si="20"/>
        <v>08</v>
      </c>
      <c r="G227" s="4" t="str">
        <f>"15"</f>
        <v>15</v>
      </c>
      <c r="H227" s="5">
        <v>70</v>
      </c>
      <c r="I227" s="3"/>
    </row>
    <row r="228" customHeight="1" spans="1:9">
      <c r="A228" s="3" t="str">
        <f t="shared" si="17"/>
        <v>0102</v>
      </c>
      <c r="B228" s="3" t="s">
        <v>10</v>
      </c>
      <c r="C228" s="3" t="str">
        <f>"葛婷婷"</f>
        <v>葛婷婷</v>
      </c>
      <c r="D228" s="3" t="str">
        <f t="shared" ref="D228:D235" si="21">"女"</f>
        <v>女</v>
      </c>
      <c r="E228" s="3" t="str">
        <f>"2507010816"</f>
        <v>2507010816</v>
      </c>
      <c r="F228" s="3" t="str">
        <f t="shared" si="20"/>
        <v>08</v>
      </c>
      <c r="G228" s="4" t="str">
        <f>"16"</f>
        <v>16</v>
      </c>
      <c r="H228" s="5">
        <v>75</v>
      </c>
      <c r="I228" s="3"/>
    </row>
    <row r="229" customHeight="1" spans="1:9">
      <c r="A229" s="3" t="str">
        <f t="shared" si="17"/>
        <v>0102</v>
      </c>
      <c r="B229" s="3" t="s">
        <v>10</v>
      </c>
      <c r="C229" s="3" t="str">
        <f>"董露露"</f>
        <v>董露露</v>
      </c>
      <c r="D229" s="3" t="str">
        <f t="shared" si="21"/>
        <v>女</v>
      </c>
      <c r="E229" s="3" t="str">
        <f>"2507010817"</f>
        <v>2507010817</v>
      </c>
      <c r="F229" s="3" t="str">
        <f t="shared" si="20"/>
        <v>08</v>
      </c>
      <c r="G229" s="4" t="str">
        <f>"17"</f>
        <v>17</v>
      </c>
      <c r="H229" s="5">
        <v>82.5</v>
      </c>
      <c r="I229" s="3"/>
    </row>
    <row r="230" customHeight="1" spans="1:9">
      <c r="A230" s="3" t="str">
        <f t="shared" si="17"/>
        <v>0102</v>
      </c>
      <c r="B230" s="3" t="s">
        <v>10</v>
      </c>
      <c r="C230" s="3" t="str">
        <f>"范蒙西"</f>
        <v>范蒙西</v>
      </c>
      <c r="D230" s="3" t="str">
        <f t="shared" si="21"/>
        <v>女</v>
      </c>
      <c r="E230" s="3" t="str">
        <f>"2507010818"</f>
        <v>2507010818</v>
      </c>
      <c r="F230" s="3" t="str">
        <f t="shared" si="20"/>
        <v>08</v>
      </c>
      <c r="G230" s="4" t="str">
        <f>"18"</f>
        <v>18</v>
      </c>
      <c r="H230" s="5">
        <v>78.5</v>
      </c>
      <c r="I230" s="3"/>
    </row>
    <row r="231" customHeight="1" spans="1:9">
      <c r="A231" s="3" t="str">
        <f t="shared" si="17"/>
        <v>0102</v>
      </c>
      <c r="B231" s="3" t="s">
        <v>10</v>
      </c>
      <c r="C231" s="3" t="str">
        <f>"宗楠"</f>
        <v>宗楠</v>
      </c>
      <c r="D231" s="3" t="str">
        <f t="shared" si="21"/>
        <v>女</v>
      </c>
      <c r="E231" s="3" t="str">
        <f>"2507010819"</f>
        <v>2507010819</v>
      </c>
      <c r="F231" s="3" t="str">
        <f t="shared" si="20"/>
        <v>08</v>
      </c>
      <c r="G231" s="4" t="str">
        <f>"19"</f>
        <v>19</v>
      </c>
      <c r="H231" s="5">
        <v>66.5</v>
      </c>
      <c r="I231" s="3"/>
    </row>
    <row r="232" customHeight="1" spans="1:9">
      <c r="A232" s="3" t="str">
        <f t="shared" si="17"/>
        <v>0102</v>
      </c>
      <c r="B232" s="3" t="s">
        <v>10</v>
      </c>
      <c r="C232" s="3" t="str">
        <f>"刘欣奕"</f>
        <v>刘欣奕</v>
      </c>
      <c r="D232" s="3" t="str">
        <f t="shared" si="21"/>
        <v>女</v>
      </c>
      <c r="E232" s="3" t="str">
        <f>"2507010820"</f>
        <v>2507010820</v>
      </c>
      <c r="F232" s="3" t="str">
        <f t="shared" si="20"/>
        <v>08</v>
      </c>
      <c r="G232" s="4" t="str">
        <f>"20"</f>
        <v>20</v>
      </c>
      <c r="H232" s="5">
        <v>0</v>
      </c>
      <c r="I232" s="3" t="s">
        <v>11</v>
      </c>
    </row>
    <row r="233" customHeight="1" spans="1:9">
      <c r="A233" s="3" t="str">
        <f t="shared" si="17"/>
        <v>0102</v>
      </c>
      <c r="B233" s="3" t="s">
        <v>10</v>
      </c>
      <c r="C233" s="3" t="str">
        <f>"张颖"</f>
        <v>张颖</v>
      </c>
      <c r="D233" s="3" t="str">
        <f t="shared" si="21"/>
        <v>女</v>
      </c>
      <c r="E233" s="3" t="str">
        <f>"2507010821"</f>
        <v>2507010821</v>
      </c>
      <c r="F233" s="3" t="str">
        <f t="shared" si="20"/>
        <v>08</v>
      </c>
      <c r="G233" s="4" t="str">
        <f>"21"</f>
        <v>21</v>
      </c>
      <c r="H233" s="5">
        <v>74.5</v>
      </c>
      <c r="I233" s="3"/>
    </row>
    <row r="234" customHeight="1" spans="1:9">
      <c r="A234" s="3" t="str">
        <f t="shared" si="17"/>
        <v>0102</v>
      </c>
      <c r="B234" s="3" t="s">
        <v>10</v>
      </c>
      <c r="C234" s="3" t="str">
        <f>"郭召溪"</f>
        <v>郭召溪</v>
      </c>
      <c r="D234" s="3" t="str">
        <f t="shared" si="21"/>
        <v>女</v>
      </c>
      <c r="E234" s="3" t="str">
        <f>"2507010822"</f>
        <v>2507010822</v>
      </c>
      <c r="F234" s="3" t="str">
        <f t="shared" si="20"/>
        <v>08</v>
      </c>
      <c r="G234" s="4" t="str">
        <f>"22"</f>
        <v>22</v>
      </c>
      <c r="H234" s="5">
        <v>0</v>
      </c>
      <c r="I234" s="3" t="s">
        <v>11</v>
      </c>
    </row>
    <row r="235" customHeight="1" spans="1:9">
      <c r="A235" s="3" t="str">
        <f t="shared" si="17"/>
        <v>0102</v>
      </c>
      <c r="B235" s="3" t="s">
        <v>10</v>
      </c>
      <c r="C235" s="3" t="str">
        <f>"刘苏"</f>
        <v>刘苏</v>
      </c>
      <c r="D235" s="3" t="str">
        <f t="shared" si="21"/>
        <v>女</v>
      </c>
      <c r="E235" s="3" t="str">
        <f>"2507010823"</f>
        <v>2507010823</v>
      </c>
      <c r="F235" s="3" t="str">
        <f t="shared" si="20"/>
        <v>08</v>
      </c>
      <c r="G235" s="4" t="str">
        <f>"23"</f>
        <v>23</v>
      </c>
      <c r="H235" s="5">
        <v>77</v>
      </c>
      <c r="I235" s="3"/>
    </row>
    <row r="236" customHeight="1" spans="1:9">
      <c r="A236" s="3" t="str">
        <f t="shared" si="17"/>
        <v>0102</v>
      </c>
      <c r="B236" s="3" t="s">
        <v>10</v>
      </c>
      <c r="C236" s="3" t="str">
        <f>"晏野"</f>
        <v>晏野</v>
      </c>
      <c r="D236" s="3" t="str">
        <f>"男"</f>
        <v>男</v>
      </c>
      <c r="E236" s="3" t="str">
        <f>"2507010824"</f>
        <v>2507010824</v>
      </c>
      <c r="F236" s="3" t="str">
        <f t="shared" si="20"/>
        <v>08</v>
      </c>
      <c r="G236" s="4" t="str">
        <f>"24"</f>
        <v>24</v>
      </c>
      <c r="H236" s="5">
        <v>0</v>
      </c>
      <c r="I236" s="3" t="s">
        <v>11</v>
      </c>
    </row>
    <row r="237" customHeight="1" spans="1:9">
      <c r="A237" s="3" t="str">
        <f t="shared" si="17"/>
        <v>0102</v>
      </c>
      <c r="B237" s="3" t="s">
        <v>10</v>
      </c>
      <c r="C237" s="3" t="str">
        <f>"张小倩"</f>
        <v>张小倩</v>
      </c>
      <c r="D237" s="3" t="str">
        <f t="shared" ref="D237:D252" si="22">"女"</f>
        <v>女</v>
      </c>
      <c r="E237" s="3" t="str">
        <f>"2507010825"</f>
        <v>2507010825</v>
      </c>
      <c r="F237" s="3" t="str">
        <f t="shared" si="20"/>
        <v>08</v>
      </c>
      <c r="G237" s="4" t="str">
        <f>"25"</f>
        <v>25</v>
      </c>
      <c r="H237" s="5">
        <v>79</v>
      </c>
      <c r="I237" s="3"/>
    </row>
    <row r="238" customHeight="1" spans="1:9">
      <c r="A238" s="3" t="str">
        <f t="shared" si="17"/>
        <v>0102</v>
      </c>
      <c r="B238" s="3" t="s">
        <v>10</v>
      </c>
      <c r="C238" s="3" t="str">
        <f>"王迪"</f>
        <v>王迪</v>
      </c>
      <c r="D238" s="3" t="str">
        <f t="shared" si="22"/>
        <v>女</v>
      </c>
      <c r="E238" s="3" t="str">
        <f>"2507010826"</f>
        <v>2507010826</v>
      </c>
      <c r="F238" s="3" t="str">
        <f t="shared" si="20"/>
        <v>08</v>
      </c>
      <c r="G238" s="4" t="str">
        <f>"26"</f>
        <v>26</v>
      </c>
      <c r="H238" s="5">
        <v>78</v>
      </c>
      <c r="I238" s="3"/>
    </row>
    <row r="239" customHeight="1" spans="1:9">
      <c r="A239" s="3" t="str">
        <f t="shared" si="17"/>
        <v>0102</v>
      </c>
      <c r="B239" s="3" t="s">
        <v>10</v>
      </c>
      <c r="C239" s="3" t="str">
        <f>"金古月"</f>
        <v>金古月</v>
      </c>
      <c r="D239" s="3" t="str">
        <f t="shared" si="22"/>
        <v>女</v>
      </c>
      <c r="E239" s="3" t="str">
        <f>"2507010827"</f>
        <v>2507010827</v>
      </c>
      <c r="F239" s="3" t="str">
        <f t="shared" si="20"/>
        <v>08</v>
      </c>
      <c r="G239" s="4" t="str">
        <f>"27"</f>
        <v>27</v>
      </c>
      <c r="H239" s="5">
        <v>80</v>
      </c>
      <c r="I239" s="3"/>
    </row>
    <row r="240" customHeight="1" spans="1:9">
      <c r="A240" s="3" t="str">
        <f t="shared" si="17"/>
        <v>0102</v>
      </c>
      <c r="B240" s="3" t="s">
        <v>10</v>
      </c>
      <c r="C240" s="3" t="str">
        <f>"姚媛媛"</f>
        <v>姚媛媛</v>
      </c>
      <c r="D240" s="3" t="str">
        <f t="shared" si="22"/>
        <v>女</v>
      </c>
      <c r="E240" s="3" t="str">
        <f>"2507010828"</f>
        <v>2507010828</v>
      </c>
      <c r="F240" s="3" t="str">
        <f t="shared" si="20"/>
        <v>08</v>
      </c>
      <c r="G240" s="4" t="str">
        <f>"28"</f>
        <v>28</v>
      </c>
      <c r="H240" s="5">
        <v>82</v>
      </c>
      <c r="I240" s="3"/>
    </row>
    <row r="241" customHeight="1" spans="1:9">
      <c r="A241" s="3" t="str">
        <f t="shared" si="17"/>
        <v>0102</v>
      </c>
      <c r="B241" s="3" t="s">
        <v>10</v>
      </c>
      <c r="C241" s="3" t="str">
        <f>"孙晗曦"</f>
        <v>孙晗曦</v>
      </c>
      <c r="D241" s="3" t="str">
        <f t="shared" si="22"/>
        <v>女</v>
      </c>
      <c r="E241" s="3" t="str">
        <f>"2507010829"</f>
        <v>2507010829</v>
      </c>
      <c r="F241" s="3" t="str">
        <f t="shared" si="20"/>
        <v>08</v>
      </c>
      <c r="G241" s="4" t="str">
        <f>"29"</f>
        <v>29</v>
      </c>
      <c r="H241" s="5">
        <v>77</v>
      </c>
      <c r="I241" s="3"/>
    </row>
    <row r="242" customHeight="1" spans="1:9">
      <c r="A242" s="3" t="str">
        <f t="shared" si="17"/>
        <v>0102</v>
      </c>
      <c r="B242" s="3" t="s">
        <v>10</v>
      </c>
      <c r="C242" s="3" t="str">
        <f>"魏欣怡"</f>
        <v>魏欣怡</v>
      </c>
      <c r="D242" s="3" t="str">
        <f t="shared" si="22"/>
        <v>女</v>
      </c>
      <c r="E242" s="3" t="str">
        <f>"2507010830"</f>
        <v>2507010830</v>
      </c>
      <c r="F242" s="3" t="str">
        <f t="shared" si="20"/>
        <v>08</v>
      </c>
      <c r="G242" s="4" t="str">
        <f>"30"</f>
        <v>30</v>
      </c>
      <c r="H242" s="5">
        <v>0</v>
      </c>
      <c r="I242" s="3" t="s">
        <v>11</v>
      </c>
    </row>
    <row r="243" customHeight="1" spans="1:9">
      <c r="A243" s="3" t="str">
        <f t="shared" si="17"/>
        <v>0102</v>
      </c>
      <c r="B243" s="3" t="s">
        <v>10</v>
      </c>
      <c r="C243" s="3" t="str">
        <f>"林丹扬"</f>
        <v>林丹扬</v>
      </c>
      <c r="D243" s="3" t="str">
        <f t="shared" si="22"/>
        <v>女</v>
      </c>
      <c r="E243" s="3" t="str">
        <f>"2507010901"</f>
        <v>2507010901</v>
      </c>
      <c r="F243" s="3" t="str">
        <f t="shared" ref="F243:F272" si="23">"09"</f>
        <v>09</v>
      </c>
      <c r="G243" s="4" t="str">
        <f>"01"</f>
        <v>01</v>
      </c>
      <c r="H243" s="5">
        <v>0</v>
      </c>
      <c r="I243" s="3" t="s">
        <v>11</v>
      </c>
    </row>
    <row r="244" customHeight="1" spans="1:9">
      <c r="A244" s="3" t="str">
        <f t="shared" si="17"/>
        <v>0102</v>
      </c>
      <c r="B244" s="3" t="s">
        <v>10</v>
      </c>
      <c r="C244" s="3" t="str">
        <f>"范程程"</f>
        <v>范程程</v>
      </c>
      <c r="D244" s="3" t="str">
        <f t="shared" si="22"/>
        <v>女</v>
      </c>
      <c r="E244" s="3" t="str">
        <f>"2507010902"</f>
        <v>2507010902</v>
      </c>
      <c r="F244" s="3" t="str">
        <f t="shared" si="23"/>
        <v>09</v>
      </c>
      <c r="G244" s="4" t="str">
        <f>"02"</f>
        <v>02</v>
      </c>
      <c r="H244" s="5">
        <v>0</v>
      </c>
      <c r="I244" s="3" t="s">
        <v>11</v>
      </c>
    </row>
    <row r="245" customHeight="1" spans="1:9">
      <c r="A245" s="3" t="str">
        <f t="shared" si="17"/>
        <v>0102</v>
      </c>
      <c r="B245" s="3" t="s">
        <v>10</v>
      </c>
      <c r="C245" s="3" t="str">
        <f>"赵纪霞"</f>
        <v>赵纪霞</v>
      </c>
      <c r="D245" s="3" t="str">
        <f t="shared" si="22"/>
        <v>女</v>
      </c>
      <c r="E245" s="3" t="str">
        <f>"2507010903"</f>
        <v>2507010903</v>
      </c>
      <c r="F245" s="3" t="str">
        <f t="shared" si="23"/>
        <v>09</v>
      </c>
      <c r="G245" s="4" t="str">
        <f>"03"</f>
        <v>03</v>
      </c>
      <c r="H245" s="5">
        <v>0</v>
      </c>
      <c r="I245" s="3" t="s">
        <v>11</v>
      </c>
    </row>
    <row r="246" customHeight="1" spans="1:9">
      <c r="A246" s="3" t="str">
        <f t="shared" si="17"/>
        <v>0102</v>
      </c>
      <c r="B246" s="3" t="s">
        <v>10</v>
      </c>
      <c r="C246" s="3" t="str">
        <f>"蒋晶晶"</f>
        <v>蒋晶晶</v>
      </c>
      <c r="D246" s="3" t="str">
        <f t="shared" si="22"/>
        <v>女</v>
      </c>
      <c r="E246" s="3" t="str">
        <f>"2507010904"</f>
        <v>2507010904</v>
      </c>
      <c r="F246" s="3" t="str">
        <f t="shared" si="23"/>
        <v>09</v>
      </c>
      <c r="G246" s="4" t="str">
        <f>"04"</f>
        <v>04</v>
      </c>
      <c r="H246" s="5">
        <v>72.5</v>
      </c>
      <c r="I246" s="3"/>
    </row>
    <row r="247" customHeight="1" spans="1:9">
      <c r="A247" s="3" t="str">
        <f t="shared" si="17"/>
        <v>0102</v>
      </c>
      <c r="B247" s="3" t="s">
        <v>10</v>
      </c>
      <c r="C247" s="3" t="str">
        <f>"郭允芹"</f>
        <v>郭允芹</v>
      </c>
      <c r="D247" s="3" t="str">
        <f t="shared" si="22"/>
        <v>女</v>
      </c>
      <c r="E247" s="3" t="str">
        <f>"2507010905"</f>
        <v>2507010905</v>
      </c>
      <c r="F247" s="3" t="str">
        <f t="shared" si="23"/>
        <v>09</v>
      </c>
      <c r="G247" s="4" t="str">
        <f>"05"</f>
        <v>05</v>
      </c>
      <c r="H247" s="5">
        <v>0</v>
      </c>
      <c r="I247" s="3" t="s">
        <v>11</v>
      </c>
    </row>
    <row r="248" customHeight="1" spans="1:9">
      <c r="A248" s="3" t="str">
        <f t="shared" si="17"/>
        <v>0102</v>
      </c>
      <c r="B248" s="3" t="s">
        <v>10</v>
      </c>
      <c r="C248" s="3" t="str">
        <f>"单寄羽"</f>
        <v>单寄羽</v>
      </c>
      <c r="D248" s="3" t="str">
        <f t="shared" si="22"/>
        <v>女</v>
      </c>
      <c r="E248" s="3" t="str">
        <f>"2507010906"</f>
        <v>2507010906</v>
      </c>
      <c r="F248" s="3" t="str">
        <f t="shared" si="23"/>
        <v>09</v>
      </c>
      <c r="G248" s="4" t="str">
        <f>"06"</f>
        <v>06</v>
      </c>
      <c r="H248" s="5">
        <v>76</v>
      </c>
      <c r="I248" s="3"/>
    </row>
    <row r="249" customHeight="1" spans="1:9">
      <c r="A249" s="3" t="str">
        <f t="shared" si="17"/>
        <v>0102</v>
      </c>
      <c r="B249" s="3" t="s">
        <v>10</v>
      </c>
      <c r="C249" s="3" t="str">
        <f>"周馨楠"</f>
        <v>周馨楠</v>
      </c>
      <c r="D249" s="3" t="str">
        <f t="shared" si="22"/>
        <v>女</v>
      </c>
      <c r="E249" s="3" t="str">
        <f>"2507010907"</f>
        <v>2507010907</v>
      </c>
      <c r="F249" s="3" t="str">
        <f t="shared" si="23"/>
        <v>09</v>
      </c>
      <c r="G249" s="4" t="str">
        <f>"07"</f>
        <v>07</v>
      </c>
      <c r="H249" s="5">
        <v>0</v>
      </c>
      <c r="I249" s="3" t="s">
        <v>11</v>
      </c>
    </row>
    <row r="250" customHeight="1" spans="1:9">
      <c r="A250" s="3" t="str">
        <f t="shared" si="17"/>
        <v>0102</v>
      </c>
      <c r="B250" s="3" t="s">
        <v>10</v>
      </c>
      <c r="C250" s="3" t="str">
        <f>"李雨茜"</f>
        <v>李雨茜</v>
      </c>
      <c r="D250" s="3" t="str">
        <f t="shared" si="22"/>
        <v>女</v>
      </c>
      <c r="E250" s="3" t="str">
        <f>"2507010908"</f>
        <v>2507010908</v>
      </c>
      <c r="F250" s="3" t="str">
        <f t="shared" si="23"/>
        <v>09</v>
      </c>
      <c r="G250" s="4" t="str">
        <f>"08"</f>
        <v>08</v>
      </c>
      <c r="H250" s="5">
        <v>77.5</v>
      </c>
      <c r="I250" s="3"/>
    </row>
    <row r="251" customHeight="1" spans="1:9">
      <c r="A251" s="3" t="str">
        <f t="shared" si="17"/>
        <v>0102</v>
      </c>
      <c r="B251" s="3" t="s">
        <v>10</v>
      </c>
      <c r="C251" s="3" t="str">
        <f>"邓缓缓"</f>
        <v>邓缓缓</v>
      </c>
      <c r="D251" s="3" t="str">
        <f t="shared" si="22"/>
        <v>女</v>
      </c>
      <c r="E251" s="3" t="str">
        <f>"2507010909"</f>
        <v>2507010909</v>
      </c>
      <c r="F251" s="3" t="str">
        <f t="shared" si="23"/>
        <v>09</v>
      </c>
      <c r="G251" s="4" t="str">
        <f>"09"</f>
        <v>09</v>
      </c>
      <c r="H251" s="5">
        <v>76.5</v>
      </c>
      <c r="I251" s="3"/>
    </row>
    <row r="252" customHeight="1" spans="1:9">
      <c r="A252" s="3" t="str">
        <f t="shared" si="17"/>
        <v>0102</v>
      </c>
      <c r="B252" s="3" t="s">
        <v>10</v>
      </c>
      <c r="C252" s="3" t="str">
        <f>"耿雨晨"</f>
        <v>耿雨晨</v>
      </c>
      <c r="D252" s="3" t="str">
        <f t="shared" si="22"/>
        <v>女</v>
      </c>
      <c r="E252" s="3" t="str">
        <f>"2507010910"</f>
        <v>2507010910</v>
      </c>
      <c r="F252" s="3" t="str">
        <f t="shared" si="23"/>
        <v>09</v>
      </c>
      <c r="G252" s="4" t="str">
        <f>"10"</f>
        <v>10</v>
      </c>
      <c r="H252" s="5">
        <v>0</v>
      </c>
      <c r="I252" s="3" t="s">
        <v>11</v>
      </c>
    </row>
    <row r="253" customHeight="1" spans="1:9">
      <c r="A253" s="3" t="str">
        <f t="shared" si="17"/>
        <v>0102</v>
      </c>
      <c r="B253" s="3" t="s">
        <v>10</v>
      </c>
      <c r="C253" s="3" t="str">
        <f>"刘迪"</f>
        <v>刘迪</v>
      </c>
      <c r="D253" s="3" t="str">
        <f>"男"</f>
        <v>男</v>
      </c>
      <c r="E253" s="3" t="str">
        <f>"2507010911"</f>
        <v>2507010911</v>
      </c>
      <c r="F253" s="3" t="str">
        <f t="shared" si="23"/>
        <v>09</v>
      </c>
      <c r="G253" s="4" t="str">
        <f>"11"</f>
        <v>11</v>
      </c>
      <c r="H253" s="5">
        <v>74.5</v>
      </c>
      <c r="I253" s="3"/>
    </row>
    <row r="254" customHeight="1" spans="1:9">
      <c r="A254" s="3" t="str">
        <f t="shared" si="17"/>
        <v>0102</v>
      </c>
      <c r="B254" s="3" t="s">
        <v>10</v>
      </c>
      <c r="C254" s="3" t="str">
        <f>"徐曼淳"</f>
        <v>徐曼淳</v>
      </c>
      <c r="D254" s="3" t="str">
        <f t="shared" ref="D254:D288" si="24">"女"</f>
        <v>女</v>
      </c>
      <c r="E254" s="3" t="str">
        <f>"2507010912"</f>
        <v>2507010912</v>
      </c>
      <c r="F254" s="3" t="str">
        <f t="shared" si="23"/>
        <v>09</v>
      </c>
      <c r="G254" s="4" t="str">
        <f>"12"</f>
        <v>12</v>
      </c>
      <c r="H254" s="5">
        <v>0</v>
      </c>
      <c r="I254" s="3" t="s">
        <v>11</v>
      </c>
    </row>
    <row r="255" customHeight="1" spans="1:9">
      <c r="A255" s="3" t="str">
        <f t="shared" si="17"/>
        <v>0102</v>
      </c>
      <c r="B255" s="3" t="s">
        <v>10</v>
      </c>
      <c r="C255" s="3" t="str">
        <f>"王婷"</f>
        <v>王婷</v>
      </c>
      <c r="D255" s="3" t="str">
        <f t="shared" si="24"/>
        <v>女</v>
      </c>
      <c r="E255" s="3" t="str">
        <f>"2507010913"</f>
        <v>2507010913</v>
      </c>
      <c r="F255" s="3" t="str">
        <f t="shared" si="23"/>
        <v>09</v>
      </c>
      <c r="G255" s="4" t="str">
        <f>"13"</f>
        <v>13</v>
      </c>
      <c r="H255" s="5">
        <v>62</v>
      </c>
      <c r="I255" s="3"/>
    </row>
    <row r="256" customHeight="1" spans="1:9">
      <c r="A256" s="3" t="str">
        <f t="shared" si="17"/>
        <v>0102</v>
      </c>
      <c r="B256" s="3" t="s">
        <v>10</v>
      </c>
      <c r="C256" s="3" t="str">
        <f>"朱婷婷"</f>
        <v>朱婷婷</v>
      </c>
      <c r="D256" s="3" t="str">
        <f t="shared" si="24"/>
        <v>女</v>
      </c>
      <c r="E256" s="3" t="str">
        <f>"2507010914"</f>
        <v>2507010914</v>
      </c>
      <c r="F256" s="3" t="str">
        <f t="shared" si="23"/>
        <v>09</v>
      </c>
      <c r="G256" s="4" t="str">
        <f>"14"</f>
        <v>14</v>
      </c>
      <c r="H256" s="5">
        <v>0</v>
      </c>
      <c r="I256" s="3" t="s">
        <v>11</v>
      </c>
    </row>
    <row r="257" customHeight="1" spans="1:9">
      <c r="A257" s="3" t="str">
        <f t="shared" si="17"/>
        <v>0102</v>
      </c>
      <c r="B257" s="3" t="s">
        <v>10</v>
      </c>
      <c r="C257" s="3" t="str">
        <f>"刘洁"</f>
        <v>刘洁</v>
      </c>
      <c r="D257" s="3" t="str">
        <f t="shared" si="24"/>
        <v>女</v>
      </c>
      <c r="E257" s="3" t="str">
        <f>"2507010915"</f>
        <v>2507010915</v>
      </c>
      <c r="F257" s="3" t="str">
        <f t="shared" si="23"/>
        <v>09</v>
      </c>
      <c r="G257" s="4" t="str">
        <f>"15"</f>
        <v>15</v>
      </c>
      <c r="H257" s="5">
        <v>75</v>
      </c>
      <c r="I257" s="3"/>
    </row>
    <row r="258" customHeight="1" spans="1:9">
      <c r="A258" s="3" t="str">
        <f t="shared" si="17"/>
        <v>0102</v>
      </c>
      <c r="B258" s="3" t="s">
        <v>10</v>
      </c>
      <c r="C258" s="3" t="str">
        <f>"司淑馨"</f>
        <v>司淑馨</v>
      </c>
      <c r="D258" s="3" t="str">
        <f t="shared" si="24"/>
        <v>女</v>
      </c>
      <c r="E258" s="3" t="str">
        <f>"2507010916"</f>
        <v>2507010916</v>
      </c>
      <c r="F258" s="3" t="str">
        <f t="shared" si="23"/>
        <v>09</v>
      </c>
      <c r="G258" s="4" t="str">
        <f>"16"</f>
        <v>16</v>
      </c>
      <c r="H258" s="5">
        <v>0</v>
      </c>
      <c r="I258" s="3" t="s">
        <v>11</v>
      </c>
    </row>
    <row r="259" customHeight="1" spans="1:9">
      <c r="A259" s="3" t="str">
        <f t="shared" ref="A259:A322" si="25">"0102"</f>
        <v>0102</v>
      </c>
      <c r="B259" s="3" t="s">
        <v>10</v>
      </c>
      <c r="C259" s="3" t="str">
        <f>"王婉婉"</f>
        <v>王婉婉</v>
      </c>
      <c r="D259" s="3" t="str">
        <f t="shared" si="24"/>
        <v>女</v>
      </c>
      <c r="E259" s="3" t="str">
        <f>"2507010917"</f>
        <v>2507010917</v>
      </c>
      <c r="F259" s="3" t="str">
        <f t="shared" si="23"/>
        <v>09</v>
      </c>
      <c r="G259" s="4" t="str">
        <f>"17"</f>
        <v>17</v>
      </c>
      <c r="H259" s="5">
        <v>67</v>
      </c>
      <c r="I259" s="3"/>
    </row>
    <row r="260" customHeight="1" spans="1:9">
      <c r="A260" s="3" t="str">
        <f t="shared" si="25"/>
        <v>0102</v>
      </c>
      <c r="B260" s="3" t="s">
        <v>10</v>
      </c>
      <c r="C260" s="3" t="str">
        <f>"杜雨婷"</f>
        <v>杜雨婷</v>
      </c>
      <c r="D260" s="3" t="str">
        <f t="shared" si="24"/>
        <v>女</v>
      </c>
      <c r="E260" s="3" t="str">
        <f>"2507010918"</f>
        <v>2507010918</v>
      </c>
      <c r="F260" s="3" t="str">
        <f t="shared" si="23"/>
        <v>09</v>
      </c>
      <c r="G260" s="4" t="str">
        <f>"18"</f>
        <v>18</v>
      </c>
      <c r="H260" s="5">
        <v>76</v>
      </c>
      <c r="I260" s="3"/>
    </row>
    <row r="261" customHeight="1" spans="1:9">
      <c r="A261" s="3" t="str">
        <f t="shared" si="25"/>
        <v>0102</v>
      </c>
      <c r="B261" s="3" t="s">
        <v>10</v>
      </c>
      <c r="C261" s="3" t="str">
        <f>"陈梦杭"</f>
        <v>陈梦杭</v>
      </c>
      <c r="D261" s="3" t="str">
        <f t="shared" si="24"/>
        <v>女</v>
      </c>
      <c r="E261" s="3" t="str">
        <f>"2507010919"</f>
        <v>2507010919</v>
      </c>
      <c r="F261" s="3" t="str">
        <f t="shared" si="23"/>
        <v>09</v>
      </c>
      <c r="G261" s="4" t="str">
        <f>"19"</f>
        <v>19</v>
      </c>
      <c r="H261" s="5">
        <v>0</v>
      </c>
      <c r="I261" s="3" t="s">
        <v>11</v>
      </c>
    </row>
    <row r="262" customHeight="1" spans="1:9">
      <c r="A262" s="3" t="str">
        <f t="shared" si="25"/>
        <v>0102</v>
      </c>
      <c r="B262" s="3" t="s">
        <v>10</v>
      </c>
      <c r="C262" s="3" t="str">
        <f>"孟佳"</f>
        <v>孟佳</v>
      </c>
      <c r="D262" s="3" t="str">
        <f t="shared" si="24"/>
        <v>女</v>
      </c>
      <c r="E262" s="3" t="str">
        <f>"2507010920"</f>
        <v>2507010920</v>
      </c>
      <c r="F262" s="3" t="str">
        <f t="shared" si="23"/>
        <v>09</v>
      </c>
      <c r="G262" s="4" t="str">
        <f>"20"</f>
        <v>20</v>
      </c>
      <c r="H262" s="5">
        <v>0</v>
      </c>
      <c r="I262" s="3" t="s">
        <v>11</v>
      </c>
    </row>
    <row r="263" customHeight="1" spans="1:9">
      <c r="A263" s="3" t="str">
        <f t="shared" si="25"/>
        <v>0102</v>
      </c>
      <c r="B263" s="3" t="s">
        <v>10</v>
      </c>
      <c r="C263" s="3" t="str">
        <f>"魏佳男"</f>
        <v>魏佳男</v>
      </c>
      <c r="D263" s="3" t="str">
        <f t="shared" si="24"/>
        <v>女</v>
      </c>
      <c r="E263" s="3" t="str">
        <f>"2507010921"</f>
        <v>2507010921</v>
      </c>
      <c r="F263" s="3" t="str">
        <f t="shared" si="23"/>
        <v>09</v>
      </c>
      <c r="G263" s="4" t="str">
        <f>"21"</f>
        <v>21</v>
      </c>
      <c r="H263" s="5">
        <v>0</v>
      </c>
      <c r="I263" s="3" t="s">
        <v>11</v>
      </c>
    </row>
    <row r="264" customHeight="1" spans="1:9">
      <c r="A264" s="3" t="str">
        <f t="shared" si="25"/>
        <v>0102</v>
      </c>
      <c r="B264" s="3" t="s">
        <v>10</v>
      </c>
      <c r="C264" s="3" t="str">
        <f>"沈文青"</f>
        <v>沈文青</v>
      </c>
      <c r="D264" s="3" t="str">
        <f t="shared" si="24"/>
        <v>女</v>
      </c>
      <c r="E264" s="3" t="str">
        <f>"2507010922"</f>
        <v>2507010922</v>
      </c>
      <c r="F264" s="3" t="str">
        <f t="shared" si="23"/>
        <v>09</v>
      </c>
      <c r="G264" s="4" t="str">
        <f>"22"</f>
        <v>22</v>
      </c>
      <c r="H264" s="5">
        <v>73</v>
      </c>
      <c r="I264" s="3"/>
    </row>
    <row r="265" customHeight="1" spans="1:9">
      <c r="A265" s="3" t="str">
        <f t="shared" si="25"/>
        <v>0102</v>
      </c>
      <c r="B265" s="3" t="s">
        <v>10</v>
      </c>
      <c r="C265" s="3" t="str">
        <f>"高文华"</f>
        <v>高文华</v>
      </c>
      <c r="D265" s="3" t="str">
        <f t="shared" si="24"/>
        <v>女</v>
      </c>
      <c r="E265" s="3" t="str">
        <f>"2507010923"</f>
        <v>2507010923</v>
      </c>
      <c r="F265" s="3" t="str">
        <f t="shared" si="23"/>
        <v>09</v>
      </c>
      <c r="G265" s="4" t="str">
        <f>"23"</f>
        <v>23</v>
      </c>
      <c r="H265" s="5">
        <v>0</v>
      </c>
      <c r="I265" s="3" t="s">
        <v>11</v>
      </c>
    </row>
    <row r="266" customHeight="1" spans="1:9">
      <c r="A266" s="3" t="str">
        <f t="shared" si="25"/>
        <v>0102</v>
      </c>
      <c r="B266" s="3" t="s">
        <v>10</v>
      </c>
      <c r="C266" s="3" t="str">
        <f>"潘燃燃"</f>
        <v>潘燃燃</v>
      </c>
      <c r="D266" s="3" t="str">
        <f t="shared" si="24"/>
        <v>女</v>
      </c>
      <c r="E266" s="3" t="str">
        <f>"2507010924"</f>
        <v>2507010924</v>
      </c>
      <c r="F266" s="3" t="str">
        <f t="shared" si="23"/>
        <v>09</v>
      </c>
      <c r="G266" s="4" t="str">
        <f>"24"</f>
        <v>24</v>
      </c>
      <c r="H266" s="5">
        <v>0</v>
      </c>
      <c r="I266" s="3" t="s">
        <v>11</v>
      </c>
    </row>
    <row r="267" customHeight="1" spans="1:9">
      <c r="A267" s="3" t="str">
        <f t="shared" si="25"/>
        <v>0102</v>
      </c>
      <c r="B267" s="3" t="s">
        <v>10</v>
      </c>
      <c r="C267" s="3" t="str">
        <f>"刘灿"</f>
        <v>刘灿</v>
      </c>
      <c r="D267" s="3" t="str">
        <f t="shared" si="24"/>
        <v>女</v>
      </c>
      <c r="E267" s="3" t="str">
        <f>"2507010925"</f>
        <v>2507010925</v>
      </c>
      <c r="F267" s="3" t="str">
        <f t="shared" si="23"/>
        <v>09</v>
      </c>
      <c r="G267" s="4" t="str">
        <f>"25"</f>
        <v>25</v>
      </c>
      <c r="H267" s="5">
        <v>0</v>
      </c>
      <c r="I267" s="3" t="s">
        <v>11</v>
      </c>
    </row>
    <row r="268" customHeight="1" spans="1:9">
      <c r="A268" s="3" t="str">
        <f t="shared" si="25"/>
        <v>0102</v>
      </c>
      <c r="B268" s="3" t="s">
        <v>10</v>
      </c>
      <c r="C268" s="3" t="str">
        <f>"杨雪梅"</f>
        <v>杨雪梅</v>
      </c>
      <c r="D268" s="3" t="str">
        <f t="shared" si="24"/>
        <v>女</v>
      </c>
      <c r="E268" s="3" t="str">
        <f>"2507010926"</f>
        <v>2507010926</v>
      </c>
      <c r="F268" s="3" t="str">
        <f t="shared" si="23"/>
        <v>09</v>
      </c>
      <c r="G268" s="4" t="str">
        <f>"26"</f>
        <v>26</v>
      </c>
      <c r="H268" s="5">
        <v>70</v>
      </c>
      <c r="I268" s="3"/>
    </row>
    <row r="269" customHeight="1" spans="1:9">
      <c r="A269" s="3" t="str">
        <f t="shared" si="25"/>
        <v>0102</v>
      </c>
      <c r="B269" s="3" t="s">
        <v>10</v>
      </c>
      <c r="C269" s="3" t="str">
        <f>"袁鸣鸣"</f>
        <v>袁鸣鸣</v>
      </c>
      <c r="D269" s="3" t="str">
        <f t="shared" si="24"/>
        <v>女</v>
      </c>
      <c r="E269" s="3" t="str">
        <f>"2507010927"</f>
        <v>2507010927</v>
      </c>
      <c r="F269" s="3" t="str">
        <f t="shared" si="23"/>
        <v>09</v>
      </c>
      <c r="G269" s="4" t="str">
        <f>"27"</f>
        <v>27</v>
      </c>
      <c r="H269" s="5">
        <v>79</v>
      </c>
      <c r="I269" s="3"/>
    </row>
    <row r="270" customHeight="1" spans="1:9">
      <c r="A270" s="3" t="str">
        <f t="shared" si="25"/>
        <v>0102</v>
      </c>
      <c r="B270" s="3" t="s">
        <v>10</v>
      </c>
      <c r="C270" s="3" t="str">
        <f>"祁慧琴"</f>
        <v>祁慧琴</v>
      </c>
      <c r="D270" s="3" t="str">
        <f t="shared" si="24"/>
        <v>女</v>
      </c>
      <c r="E270" s="3" t="str">
        <f>"2507010928"</f>
        <v>2507010928</v>
      </c>
      <c r="F270" s="3" t="str">
        <f t="shared" si="23"/>
        <v>09</v>
      </c>
      <c r="G270" s="4" t="str">
        <f>"28"</f>
        <v>28</v>
      </c>
      <c r="H270" s="5">
        <v>0</v>
      </c>
      <c r="I270" s="3" t="s">
        <v>11</v>
      </c>
    </row>
    <row r="271" customHeight="1" spans="1:9">
      <c r="A271" s="3" t="str">
        <f t="shared" si="25"/>
        <v>0102</v>
      </c>
      <c r="B271" s="3" t="s">
        <v>10</v>
      </c>
      <c r="C271" s="3" t="str">
        <f>"高玲玲"</f>
        <v>高玲玲</v>
      </c>
      <c r="D271" s="3" t="str">
        <f t="shared" si="24"/>
        <v>女</v>
      </c>
      <c r="E271" s="3" t="str">
        <f>"2507010929"</f>
        <v>2507010929</v>
      </c>
      <c r="F271" s="3" t="str">
        <f t="shared" si="23"/>
        <v>09</v>
      </c>
      <c r="G271" s="4" t="str">
        <f>"29"</f>
        <v>29</v>
      </c>
      <c r="H271" s="5">
        <v>68</v>
      </c>
      <c r="I271" s="3"/>
    </row>
    <row r="272" customHeight="1" spans="1:9">
      <c r="A272" s="3" t="str">
        <f t="shared" si="25"/>
        <v>0102</v>
      </c>
      <c r="B272" s="3" t="s">
        <v>10</v>
      </c>
      <c r="C272" s="3" t="str">
        <f>"王梦真"</f>
        <v>王梦真</v>
      </c>
      <c r="D272" s="3" t="str">
        <f t="shared" si="24"/>
        <v>女</v>
      </c>
      <c r="E272" s="3" t="str">
        <f>"2507010930"</f>
        <v>2507010930</v>
      </c>
      <c r="F272" s="3" t="str">
        <f t="shared" si="23"/>
        <v>09</v>
      </c>
      <c r="G272" s="4" t="str">
        <f>"30"</f>
        <v>30</v>
      </c>
      <c r="H272" s="5">
        <v>65</v>
      </c>
      <c r="I272" s="3"/>
    </row>
    <row r="273" customHeight="1" spans="1:9">
      <c r="A273" s="3" t="str">
        <f t="shared" si="25"/>
        <v>0102</v>
      </c>
      <c r="B273" s="3" t="s">
        <v>10</v>
      </c>
      <c r="C273" s="3" t="str">
        <f>"吕梦然"</f>
        <v>吕梦然</v>
      </c>
      <c r="D273" s="3" t="str">
        <f t="shared" si="24"/>
        <v>女</v>
      </c>
      <c r="E273" s="3" t="str">
        <f>"2507011001"</f>
        <v>2507011001</v>
      </c>
      <c r="F273" s="3" t="str">
        <f t="shared" ref="F273:F302" si="26">"10"</f>
        <v>10</v>
      </c>
      <c r="G273" s="4" t="str">
        <f>"01"</f>
        <v>01</v>
      </c>
      <c r="H273" s="5">
        <v>70</v>
      </c>
      <c r="I273" s="3"/>
    </row>
    <row r="274" customHeight="1" spans="1:9">
      <c r="A274" s="3" t="str">
        <f t="shared" si="25"/>
        <v>0102</v>
      </c>
      <c r="B274" s="3" t="s">
        <v>10</v>
      </c>
      <c r="C274" s="3" t="str">
        <f>"程梦珺"</f>
        <v>程梦珺</v>
      </c>
      <c r="D274" s="3" t="str">
        <f t="shared" si="24"/>
        <v>女</v>
      </c>
      <c r="E274" s="3" t="str">
        <f>"2507011002"</f>
        <v>2507011002</v>
      </c>
      <c r="F274" s="3" t="str">
        <f t="shared" si="26"/>
        <v>10</v>
      </c>
      <c r="G274" s="4" t="str">
        <f>"02"</f>
        <v>02</v>
      </c>
      <c r="H274" s="5">
        <v>0</v>
      </c>
      <c r="I274" s="3" t="s">
        <v>11</v>
      </c>
    </row>
    <row r="275" customHeight="1" spans="1:9">
      <c r="A275" s="3" t="str">
        <f t="shared" si="25"/>
        <v>0102</v>
      </c>
      <c r="B275" s="3" t="s">
        <v>10</v>
      </c>
      <c r="C275" s="3" t="str">
        <f>"卞耀棋"</f>
        <v>卞耀棋</v>
      </c>
      <c r="D275" s="3" t="str">
        <f t="shared" si="24"/>
        <v>女</v>
      </c>
      <c r="E275" s="3" t="str">
        <f>"2507011003"</f>
        <v>2507011003</v>
      </c>
      <c r="F275" s="3" t="str">
        <f t="shared" si="26"/>
        <v>10</v>
      </c>
      <c r="G275" s="4" t="str">
        <f>"03"</f>
        <v>03</v>
      </c>
      <c r="H275" s="5">
        <v>73</v>
      </c>
      <c r="I275" s="3"/>
    </row>
    <row r="276" customHeight="1" spans="1:9">
      <c r="A276" s="3" t="str">
        <f t="shared" si="25"/>
        <v>0102</v>
      </c>
      <c r="B276" s="3" t="s">
        <v>10</v>
      </c>
      <c r="C276" s="3" t="str">
        <f>"赵修玉"</f>
        <v>赵修玉</v>
      </c>
      <c r="D276" s="3" t="str">
        <f t="shared" si="24"/>
        <v>女</v>
      </c>
      <c r="E276" s="3" t="str">
        <f>"2507011004"</f>
        <v>2507011004</v>
      </c>
      <c r="F276" s="3" t="str">
        <f t="shared" si="26"/>
        <v>10</v>
      </c>
      <c r="G276" s="4" t="str">
        <f>"04"</f>
        <v>04</v>
      </c>
      <c r="H276" s="5">
        <v>71.5</v>
      </c>
      <c r="I276" s="3"/>
    </row>
    <row r="277" customHeight="1" spans="1:9">
      <c r="A277" s="3" t="str">
        <f t="shared" si="25"/>
        <v>0102</v>
      </c>
      <c r="B277" s="3" t="s">
        <v>10</v>
      </c>
      <c r="C277" s="3" t="str">
        <f>"王雅琦"</f>
        <v>王雅琦</v>
      </c>
      <c r="D277" s="3" t="str">
        <f t="shared" si="24"/>
        <v>女</v>
      </c>
      <c r="E277" s="3" t="str">
        <f>"2507011005"</f>
        <v>2507011005</v>
      </c>
      <c r="F277" s="3" t="str">
        <f t="shared" si="26"/>
        <v>10</v>
      </c>
      <c r="G277" s="4" t="str">
        <f>"05"</f>
        <v>05</v>
      </c>
      <c r="H277" s="5">
        <v>73.5</v>
      </c>
      <c r="I277" s="3"/>
    </row>
    <row r="278" customHeight="1" spans="1:9">
      <c r="A278" s="3" t="str">
        <f t="shared" si="25"/>
        <v>0102</v>
      </c>
      <c r="B278" s="3" t="s">
        <v>10</v>
      </c>
      <c r="C278" s="3" t="str">
        <f>"杨平"</f>
        <v>杨平</v>
      </c>
      <c r="D278" s="3" t="str">
        <f t="shared" si="24"/>
        <v>女</v>
      </c>
      <c r="E278" s="3" t="str">
        <f>"2507011006"</f>
        <v>2507011006</v>
      </c>
      <c r="F278" s="3" t="str">
        <f t="shared" si="26"/>
        <v>10</v>
      </c>
      <c r="G278" s="4" t="str">
        <f>"06"</f>
        <v>06</v>
      </c>
      <c r="H278" s="5">
        <v>63</v>
      </c>
      <c r="I278" s="3"/>
    </row>
    <row r="279" customHeight="1" spans="1:9">
      <c r="A279" s="3" t="str">
        <f t="shared" si="25"/>
        <v>0102</v>
      </c>
      <c r="B279" s="3" t="s">
        <v>10</v>
      </c>
      <c r="C279" s="3" t="str">
        <f>"季洁"</f>
        <v>季洁</v>
      </c>
      <c r="D279" s="3" t="str">
        <f t="shared" si="24"/>
        <v>女</v>
      </c>
      <c r="E279" s="3" t="str">
        <f>"2507011007"</f>
        <v>2507011007</v>
      </c>
      <c r="F279" s="3" t="str">
        <f t="shared" si="26"/>
        <v>10</v>
      </c>
      <c r="G279" s="4" t="str">
        <f>"07"</f>
        <v>07</v>
      </c>
      <c r="H279" s="5">
        <v>0</v>
      </c>
      <c r="I279" s="3" t="s">
        <v>11</v>
      </c>
    </row>
    <row r="280" customHeight="1" spans="1:9">
      <c r="A280" s="3" t="str">
        <f t="shared" si="25"/>
        <v>0102</v>
      </c>
      <c r="B280" s="3" t="s">
        <v>10</v>
      </c>
      <c r="C280" s="3" t="str">
        <f>"岳琦"</f>
        <v>岳琦</v>
      </c>
      <c r="D280" s="3" t="str">
        <f t="shared" si="24"/>
        <v>女</v>
      </c>
      <c r="E280" s="3" t="str">
        <f>"2507011008"</f>
        <v>2507011008</v>
      </c>
      <c r="F280" s="3" t="str">
        <f t="shared" si="26"/>
        <v>10</v>
      </c>
      <c r="G280" s="4" t="str">
        <f>"08"</f>
        <v>08</v>
      </c>
      <c r="H280" s="5">
        <v>41</v>
      </c>
      <c r="I280" s="3"/>
    </row>
    <row r="281" customHeight="1" spans="1:9">
      <c r="A281" s="3" t="str">
        <f t="shared" si="25"/>
        <v>0102</v>
      </c>
      <c r="B281" s="3" t="s">
        <v>10</v>
      </c>
      <c r="C281" s="3" t="str">
        <f>"张雯婷"</f>
        <v>张雯婷</v>
      </c>
      <c r="D281" s="3" t="str">
        <f t="shared" si="24"/>
        <v>女</v>
      </c>
      <c r="E281" s="3" t="str">
        <f>"2507011009"</f>
        <v>2507011009</v>
      </c>
      <c r="F281" s="3" t="str">
        <f t="shared" si="26"/>
        <v>10</v>
      </c>
      <c r="G281" s="4" t="str">
        <f>"09"</f>
        <v>09</v>
      </c>
      <c r="H281" s="5">
        <v>0</v>
      </c>
      <c r="I281" s="3" t="s">
        <v>11</v>
      </c>
    </row>
    <row r="282" customHeight="1" spans="1:9">
      <c r="A282" s="3" t="str">
        <f t="shared" si="25"/>
        <v>0102</v>
      </c>
      <c r="B282" s="3" t="s">
        <v>10</v>
      </c>
      <c r="C282" s="3" t="str">
        <f>"朱悦"</f>
        <v>朱悦</v>
      </c>
      <c r="D282" s="3" t="str">
        <f t="shared" si="24"/>
        <v>女</v>
      </c>
      <c r="E282" s="3" t="str">
        <f>"2507011010"</f>
        <v>2507011010</v>
      </c>
      <c r="F282" s="3" t="str">
        <f t="shared" si="26"/>
        <v>10</v>
      </c>
      <c r="G282" s="4" t="str">
        <f>"10"</f>
        <v>10</v>
      </c>
      <c r="H282" s="5">
        <v>0</v>
      </c>
      <c r="I282" s="3" t="s">
        <v>11</v>
      </c>
    </row>
    <row r="283" customHeight="1" spans="1:9">
      <c r="A283" s="3" t="str">
        <f t="shared" si="25"/>
        <v>0102</v>
      </c>
      <c r="B283" s="3" t="s">
        <v>10</v>
      </c>
      <c r="C283" s="3" t="str">
        <f>"林玉洁"</f>
        <v>林玉洁</v>
      </c>
      <c r="D283" s="3" t="str">
        <f t="shared" si="24"/>
        <v>女</v>
      </c>
      <c r="E283" s="3" t="str">
        <f>"2507011011"</f>
        <v>2507011011</v>
      </c>
      <c r="F283" s="3" t="str">
        <f t="shared" si="26"/>
        <v>10</v>
      </c>
      <c r="G283" s="4" t="str">
        <f>"11"</f>
        <v>11</v>
      </c>
      <c r="H283" s="5">
        <v>85.5</v>
      </c>
      <c r="I283" s="3"/>
    </row>
    <row r="284" customHeight="1" spans="1:9">
      <c r="A284" s="3" t="str">
        <f t="shared" si="25"/>
        <v>0102</v>
      </c>
      <c r="B284" s="3" t="s">
        <v>10</v>
      </c>
      <c r="C284" s="3" t="str">
        <f>"王文娣"</f>
        <v>王文娣</v>
      </c>
      <c r="D284" s="3" t="str">
        <f t="shared" si="24"/>
        <v>女</v>
      </c>
      <c r="E284" s="3" t="str">
        <f>"2507011012"</f>
        <v>2507011012</v>
      </c>
      <c r="F284" s="3" t="str">
        <f t="shared" si="26"/>
        <v>10</v>
      </c>
      <c r="G284" s="4" t="str">
        <f>"12"</f>
        <v>12</v>
      </c>
      <c r="H284" s="5">
        <v>68</v>
      </c>
      <c r="I284" s="3"/>
    </row>
    <row r="285" customHeight="1" spans="1:9">
      <c r="A285" s="3" t="str">
        <f t="shared" si="25"/>
        <v>0102</v>
      </c>
      <c r="B285" s="3" t="s">
        <v>10</v>
      </c>
      <c r="C285" s="3" t="str">
        <f>"仲安娜"</f>
        <v>仲安娜</v>
      </c>
      <c r="D285" s="3" t="str">
        <f t="shared" si="24"/>
        <v>女</v>
      </c>
      <c r="E285" s="3" t="str">
        <f>"2507011013"</f>
        <v>2507011013</v>
      </c>
      <c r="F285" s="3" t="str">
        <f t="shared" si="26"/>
        <v>10</v>
      </c>
      <c r="G285" s="4" t="str">
        <f>"13"</f>
        <v>13</v>
      </c>
      <c r="H285" s="5">
        <v>76</v>
      </c>
      <c r="I285" s="3"/>
    </row>
    <row r="286" customHeight="1" spans="1:9">
      <c r="A286" s="3" t="str">
        <f t="shared" si="25"/>
        <v>0102</v>
      </c>
      <c r="B286" s="3" t="s">
        <v>10</v>
      </c>
      <c r="C286" s="3" t="str">
        <f>"陈看看"</f>
        <v>陈看看</v>
      </c>
      <c r="D286" s="3" t="str">
        <f t="shared" si="24"/>
        <v>女</v>
      </c>
      <c r="E286" s="3" t="str">
        <f>"2507011014"</f>
        <v>2507011014</v>
      </c>
      <c r="F286" s="3" t="str">
        <f t="shared" si="26"/>
        <v>10</v>
      </c>
      <c r="G286" s="4" t="str">
        <f>"14"</f>
        <v>14</v>
      </c>
      <c r="H286" s="5">
        <v>79</v>
      </c>
      <c r="I286" s="3"/>
    </row>
    <row r="287" customHeight="1" spans="1:9">
      <c r="A287" s="3" t="str">
        <f t="shared" si="25"/>
        <v>0102</v>
      </c>
      <c r="B287" s="3" t="s">
        <v>10</v>
      </c>
      <c r="C287" s="3" t="str">
        <f>"徐柯妮"</f>
        <v>徐柯妮</v>
      </c>
      <c r="D287" s="3" t="str">
        <f t="shared" si="24"/>
        <v>女</v>
      </c>
      <c r="E287" s="3" t="str">
        <f>"2507011015"</f>
        <v>2507011015</v>
      </c>
      <c r="F287" s="3" t="str">
        <f t="shared" si="26"/>
        <v>10</v>
      </c>
      <c r="G287" s="4" t="str">
        <f>"15"</f>
        <v>15</v>
      </c>
      <c r="H287" s="5">
        <v>65.5</v>
      </c>
      <c r="I287" s="3"/>
    </row>
    <row r="288" customHeight="1" spans="1:9">
      <c r="A288" s="3" t="str">
        <f t="shared" si="25"/>
        <v>0102</v>
      </c>
      <c r="B288" s="3" t="s">
        <v>10</v>
      </c>
      <c r="C288" s="3" t="str">
        <f>"马静"</f>
        <v>马静</v>
      </c>
      <c r="D288" s="3" t="str">
        <f t="shared" si="24"/>
        <v>女</v>
      </c>
      <c r="E288" s="3" t="str">
        <f>"2507011016"</f>
        <v>2507011016</v>
      </c>
      <c r="F288" s="3" t="str">
        <f t="shared" si="26"/>
        <v>10</v>
      </c>
      <c r="G288" s="4" t="str">
        <f>"16"</f>
        <v>16</v>
      </c>
      <c r="H288" s="5">
        <v>84.5</v>
      </c>
      <c r="I288" s="3"/>
    </row>
    <row r="289" customHeight="1" spans="1:9">
      <c r="A289" s="3" t="str">
        <f t="shared" si="25"/>
        <v>0102</v>
      </c>
      <c r="B289" s="3" t="s">
        <v>10</v>
      </c>
      <c r="C289" s="3" t="str">
        <f>"张开远"</f>
        <v>张开远</v>
      </c>
      <c r="D289" s="3" t="str">
        <f>"男"</f>
        <v>男</v>
      </c>
      <c r="E289" s="3" t="str">
        <f>"2507011017"</f>
        <v>2507011017</v>
      </c>
      <c r="F289" s="3" t="str">
        <f t="shared" si="26"/>
        <v>10</v>
      </c>
      <c r="G289" s="4" t="str">
        <f>"17"</f>
        <v>17</v>
      </c>
      <c r="H289" s="5">
        <v>74</v>
      </c>
      <c r="I289" s="3"/>
    </row>
    <row r="290" customHeight="1" spans="1:9">
      <c r="A290" s="3" t="str">
        <f t="shared" si="25"/>
        <v>0102</v>
      </c>
      <c r="B290" s="3" t="s">
        <v>10</v>
      </c>
      <c r="C290" s="3" t="str">
        <f>"田玉芳"</f>
        <v>田玉芳</v>
      </c>
      <c r="D290" s="3" t="str">
        <f t="shared" ref="D290:D298" si="27">"女"</f>
        <v>女</v>
      </c>
      <c r="E290" s="3" t="str">
        <f>"2507011018"</f>
        <v>2507011018</v>
      </c>
      <c r="F290" s="3" t="str">
        <f t="shared" si="26"/>
        <v>10</v>
      </c>
      <c r="G290" s="4" t="str">
        <f>"18"</f>
        <v>18</v>
      </c>
      <c r="H290" s="5">
        <v>76</v>
      </c>
      <c r="I290" s="3"/>
    </row>
    <row r="291" customHeight="1" spans="1:9">
      <c r="A291" s="3" t="str">
        <f t="shared" si="25"/>
        <v>0102</v>
      </c>
      <c r="B291" s="3" t="s">
        <v>10</v>
      </c>
      <c r="C291" s="3" t="str">
        <f>"江宇"</f>
        <v>江宇</v>
      </c>
      <c r="D291" s="3" t="str">
        <f t="shared" si="27"/>
        <v>女</v>
      </c>
      <c r="E291" s="3" t="str">
        <f>"2507011019"</f>
        <v>2507011019</v>
      </c>
      <c r="F291" s="3" t="str">
        <f t="shared" si="26"/>
        <v>10</v>
      </c>
      <c r="G291" s="4" t="str">
        <f>"19"</f>
        <v>19</v>
      </c>
      <c r="H291" s="5">
        <v>70</v>
      </c>
      <c r="I291" s="3"/>
    </row>
    <row r="292" customHeight="1" spans="1:9">
      <c r="A292" s="3" t="str">
        <f t="shared" si="25"/>
        <v>0102</v>
      </c>
      <c r="B292" s="3" t="s">
        <v>10</v>
      </c>
      <c r="C292" s="3" t="str">
        <f>"王玉影"</f>
        <v>王玉影</v>
      </c>
      <c r="D292" s="3" t="str">
        <f t="shared" si="27"/>
        <v>女</v>
      </c>
      <c r="E292" s="3" t="str">
        <f>"2507011020"</f>
        <v>2507011020</v>
      </c>
      <c r="F292" s="3" t="str">
        <f t="shared" si="26"/>
        <v>10</v>
      </c>
      <c r="G292" s="4" t="str">
        <f>"20"</f>
        <v>20</v>
      </c>
      <c r="H292" s="5">
        <v>82</v>
      </c>
      <c r="I292" s="3"/>
    </row>
    <row r="293" customHeight="1" spans="1:9">
      <c r="A293" s="3" t="str">
        <f t="shared" si="25"/>
        <v>0102</v>
      </c>
      <c r="B293" s="3" t="s">
        <v>10</v>
      </c>
      <c r="C293" s="3" t="str">
        <f>"苗歆迪"</f>
        <v>苗歆迪</v>
      </c>
      <c r="D293" s="3" t="str">
        <f t="shared" si="27"/>
        <v>女</v>
      </c>
      <c r="E293" s="3" t="str">
        <f>"2507011021"</f>
        <v>2507011021</v>
      </c>
      <c r="F293" s="3" t="str">
        <f t="shared" si="26"/>
        <v>10</v>
      </c>
      <c r="G293" s="4" t="str">
        <f>"21"</f>
        <v>21</v>
      </c>
      <c r="H293" s="5">
        <v>75</v>
      </c>
      <c r="I293" s="3"/>
    </row>
    <row r="294" customHeight="1" spans="1:9">
      <c r="A294" s="3" t="str">
        <f t="shared" si="25"/>
        <v>0102</v>
      </c>
      <c r="B294" s="3" t="s">
        <v>10</v>
      </c>
      <c r="C294" s="3" t="str">
        <f>"孙一飞"</f>
        <v>孙一飞</v>
      </c>
      <c r="D294" s="3" t="str">
        <f t="shared" si="27"/>
        <v>女</v>
      </c>
      <c r="E294" s="3" t="str">
        <f>"2507011022"</f>
        <v>2507011022</v>
      </c>
      <c r="F294" s="3" t="str">
        <f t="shared" si="26"/>
        <v>10</v>
      </c>
      <c r="G294" s="4" t="str">
        <f>"22"</f>
        <v>22</v>
      </c>
      <c r="H294" s="5">
        <v>79</v>
      </c>
      <c r="I294" s="3"/>
    </row>
    <row r="295" customHeight="1" spans="1:9">
      <c r="A295" s="3" t="str">
        <f t="shared" si="25"/>
        <v>0102</v>
      </c>
      <c r="B295" s="3" t="s">
        <v>10</v>
      </c>
      <c r="C295" s="3" t="str">
        <f>"张星"</f>
        <v>张星</v>
      </c>
      <c r="D295" s="3" t="str">
        <f t="shared" si="27"/>
        <v>女</v>
      </c>
      <c r="E295" s="3" t="str">
        <f>"2507011023"</f>
        <v>2507011023</v>
      </c>
      <c r="F295" s="3" t="str">
        <f t="shared" si="26"/>
        <v>10</v>
      </c>
      <c r="G295" s="4" t="str">
        <f>"23"</f>
        <v>23</v>
      </c>
      <c r="H295" s="5">
        <v>69.5</v>
      </c>
      <c r="I295" s="3"/>
    </row>
    <row r="296" customHeight="1" spans="1:9">
      <c r="A296" s="3" t="str">
        <f t="shared" si="25"/>
        <v>0102</v>
      </c>
      <c r="B296" s="3" t="s">
        <v>10</v>
      </c>
      <c r="C296" s="3" t="str">
        <f>"许宇婷"</f>
        <v>许宇婷</v>
      </c>
      <c r="D296" s="3" t="str">
        <f t="shared" si="27"/>
        <v>女</v>
      </c>
      <c r="E296" s="3" t="str">
        <f>"2507011024"</f>
        <v>2507011024</v>
      </c>
      <c r="F296" s="3" t="str">
        <f t="shared" si="26"/>
        <v>10</v>
      </c>
      <c r="G296" s="4" t="str">
        <f>"24"</f>
        <v>24</v>
      </c>
      <c r="H296" s="5">
        <v>75.5</v>
      </c>
      <c r="I296" s="3"/>
    </row>
    <row r="297" customHeight="1" spans="1:9">
      <c r="A297" s="3" t="str">
        <f t="shared" si="25"/>
        <v>0102</v>
      </c>
      <c r="B297" s="3" t="s">
        <v>10</v>
      </c>
      <c r="C297" s="3" t="str">
        <f>"胡晨逸"</f>
        <v>胡晨逸</v>
      </c>
      <c r="D297" s="3" t="str">
        <f t="shared" si="27"/>
        <v>女</v>
      </c>
      <c r="E297" s="3" t="str">
        <f>"2507011025"</f>
        <v>2507011025</v>
      </c>
      <c r="F297" s="3" t="str">
        <f t="shared" si="26"/>
        <v>10</v>
      </c>
      <c r="G297" s="4" t="str">
        <f>"25"</f>
        <v>25</v>
      </c>
      <c r="H297" s="5">
        <v>69</v>
      </c>
      <c r="I297" s="3"/>
    </row>
    <row r="298" customHeight="1" spans="1:9">
      <c r="A298" s="3" t="str">
        <f t="shared" si="25"/>
        <v>0102</v>
      </c>
      <c r="B298" s="3" t="s">
        <v>10</v>
      </c>
      <c r="C298" s="3" t="str">
        <f>"张艺馨"</f>
        <v>张艺馨</v>
      </c>
      <c r="D298" s="3" t="str">
        <f t="shared" si="27"/>
        <v>女</v>
      </c>
      <c r="E298" s="3" t="str">
        <f>"2507011026"</f>
        <v>2507011026</v>
      </c>
      <c r="F298" s="3" t="str">
        <f t="shared" si="26"/>
        <v>10</v>
      </c>
      <c r="G298" s="4" t="str">
        <f>"26"</f>
        <v>26</v>
      </c>
      <c r="H298" s="5">
        <v>77.5</v>
      </c>
      <c r="I298" s="3"/>
    </row>
    <row r="299" customHeight="1" spans="1:9">
      <c r="A299" s="3" t="str">
        <f t="shared" si="25"/>
        <v>0102</v>
      </c>
      <c r="B299" s="3" t="s">
        <v>10</v>
      </c>
      <c r="C299" s="3" t="str">
        <f>"朱擎"</f>
        <v>朱擎</v>
      </c>
      <c r="D299" s="3" t="str">
        <f>"男"</f>
        <v>男</v>
      </c>
      <c r="E299" s="3" t="str">
        <f>"2507011027"</f>
        <v>2507011027</v>
      </c>
      <c r="F299" s="3" t="str">
        <f t="shared" si="26"/>
        <v>10</v>
      </c>
      <c r="G299" s="4" t="str">
        <f>"27"</f>
        <v>27</v>
      </c>
      <c r="H299" s="5">
        <v>70.5</v>
      </c>
      <c r="I299" s="3"/>
    </row>
    <row r="300" customHeight="1" spans="1:9">
      <c r="A300" s="3" t="str">
        <f t="shared" si="25"/>
        <v>0102</v>
      </c>
      <c r="B300" s="3" t="s">
        <v>10</v>
      </c>
      <c r="C300" s="3" t="str">
        <f>"王梦园"</f>
        <v>王梦园</v>
      </c>
      <c r="D300" s="3" t="str">
        <f t="shared" ref="D300:D328" si="28">"女"</f>
        <v>女</v>
      </c>
      <c r="E300" s="3" t="str">
        <f>"2507011028"</f>
        <v>2507011028</v>
      </c>
      <c r="F300" s="3" t="str">
        <f t="shared" si="26"/>
        <v>10</v>
      </c>
      <c r="G300" s="4" t="str">
        <f>"28"</f>
        <v>28</v>
      </c>
      <c r="H300" s="5">
        <v>77</v>
      </c>
      <c r="I300" s="3"/>
    </row>
    <row r="301" customHeight="1" spans="1:9">
      <c r="A301" s="3" t="str">
        <f t="shared" si="25"/>
        <v>0102</v>
      </c>
      <c r="B301" s="3" t="s">
        <v>10</v>
      </c>
      <c r="C301" s="3" t="str">
        <f>"李双双"</f>
        <v>李双双</v>
      </c>
      <c r="D301" s="3" t="str">
        <f t="shared" si="28"/>
        <v>女</v>
      </c>
      <c r="E301" s="3" t="str">
        <f>"2507011029"</f>
        <v>2507011029</v>
      </c>
      <c r="F301" s="3" t="str">
        <f t="shared" si="26"/>
        <v>10</v>
      </c>
      <c r="G301" s="4" t="str">
        <f>"29"</f>
        <v>29</v>
      </c>
      <c r="H301" s="5">
        <v>68.5</v>
      </c>
      <c r="I301" s="3"/>
    </row>
    <row r="302" customHeight="1" spans="1:9">
      <c r="A302" s="3" t="str">
        <f t="shared" si="25"/>
        <v>0102</v>
      </c>
      <c r="B302" s="3" t="s">
        <v>10</v>
      </c>
      <c r="C302" s="3" t="str">
        <f>"赵薇"</f>
        <v>赵薇</v>
      </c>
      <c r="D302" s="3" t="str">
        <f t="shared" si="28"/>
        <v>女</v>
      </c>
      <c r="E302" s="3" t="str">
        <f>"2507011030"</f>
        <v>2507011030</v>
      </c>
      <c r="F302" s="3" t="str">
        <f t="shared" si="26"/>
        <v>10</v>
      </c>
      <c r="G302" s="4" t="str">
        <f>"30"</f>
        <v>30</v>
      </c>
      <c r="H302" s="5">
        <v>0</v>
      </c>
      <c r="I302" s="3" t="s">
        <v>11</v>
      </c>
    </row>
    <row r="303" customHeight="1" spans="1:9">
      <c r="A303" s="3" t="str">
        <f t="shared" si="25"/>
        <v>0102</v>
      </c>
      <c r="B303" s="3" t="s">
        <v>10</v>
      </c>
      <c r="C303" s="3" t="str">
        <f>"董颖"</f>
        <v>董颖</v>
      </c>
      <c r="D303" s="3" t="str">
        <f t="shared" si="28"/>
        <v>女</v>
      </c>
      <c r="E303" s="3" t="str">
        <f>"2507011101"</f>
        <v>2507011101</v>
      </c>
      <c r="F303" s="3" t="str">
        <f t="shared" ref="F303:F332" si="29">"11"</f>
        <v>11</v>
      </c>
      <c r="G303" s="4" t="str">
        <f>"01"</f>
        <v>01</v>
      </c>
      <c r="H303" s="5">
        <v>0</v>
      </c>
      <c r="I303" s="3" t="s">
        <v>11</v>
      </c>
    </row>
    <row r="304" customHeight="1" spans="1:9">
      <c r="A304" s="3" t="str">
        <f t="shared" si="25"/>
        <v>0102</v>
      </c>
      <c r="B304" s="3" t="s">
        <v>10</v>
      </c>
      <c r="C304" s="3" t="str">
        <f>"刘璇"</f>
        <v>刘璇</v>
      </c>
      <c r="D304" s="3" t="str">
        <f t="shared" si="28"/>
        <v>女</v>
      </c>
      <c r="E304" s="3" t="str">
        <f>"2507011102"</f>
        <v>2507011102</v>
      </c>
      <c r="F304" s="3" t="str">
        <f t="shared" si="29"/>
        <v>11</v>
      </c>
      <c r="G304" s="4" t="str">
        <f>"02"</f>
        <v>02</v>
      </c>
      <c r="H304" s="5">
        <v>0</v>
      </c>
      <c r="I304" s="3" t="s">
        <v>11</v>
      </c>
    </row>
    <row r="305" customHeight="1" spans="1:9">
      <c r="A305" s="3" t="str">
        <f t="shared" si="25"/>
        <v>0102</v>
      </c>
      <c r="B305" s="3" t="s">
        <v>10</v>
      </c>
      <c r="C305" s="3" t="str">
        <f>"潘园园"</f>
        <v>潘园园</v>
      </c>
      <c r="D305" s="3" t="str">
        <f t="shared" si="28"/>
        <v>女</v>
      </c>
      <c r="E305" s="3" t="str">
        <f>"2507011103"</f>
        <v>2507011103</v>
      </c>
      <c r="F305" s="3" t="str">
        <f t="shared" si="29"/>
        <v>11</v>
      </c>
      <c r="G305" s="4" t="str">
        <f>"03"</f>
        <v>03</v>
      </c>
      <c r="H305" s="5">
        <v>0</v>
      </c>
      <c r="I305" s="3" t="s">
        <v>11</v>
      </c>
    </row>
    <row r="306" customHeight="1" spans="1:9">
      <c r="A306" s="3" t="str">
        <f t="shared" si="25"/>
        <v>0102</v>
      </c>
      <c r="B306" s="3" t="s">
        <v>10</v>
      </c>
      <c r="C306" s="3" t="str">
        <f>"董位"</f>
        <v>董位</v>
      </c>
      <c r="D306" s="3" t="str">
        <f t="shared" si="28"/>
        <v>女</v>
      </c>
      <c r="E306" s="3" t="str">
        <f>"2507011104"</f>
        <v>2507011104</v>
      </c>
      <c r="F306" s="3" t="str">
        <f t="shared" si="29"/>
        <v>11</v>
      </c>
      <c r="G306" s="4" t="str">
        <f>"04"</f>
        <v>04</v>
      </c>
      <c r="H306" s="5">
        <v>0</v>
      </c>
      <c r="I306" s="3" t="s">
        <v>11</v>
      </c>
    </row>
    <row r="307" customHeight="1" spans="1:9">
      <c r="A307" s="3" t="str">
        <f t="shared" si="25"/>
        <v>0102</v>
      </c>
      <c r="B307" s="3" t="s">
        <v>10</v>
      </c>
      <c r="C307" s="3" t="str">
        <f>"高欣雨"</f>
        <v>高欣雨</v>
      </c>
      <c r="D307" s="3" t="str">
        <f t="shared" si="28"/>
        <v>女</v>
      </c>
      <c r="E307" s="3" t="str">
        <f>"2507011105"</f>
        <v>2507011105</v>
      </c>
      <c r="F307" s="3" t="str">
        <f t="shared" si="29"/>
        <v>11</v>
      </c>
      <c r="G307" s="4" t="str">
        <f>"05"</f>
        <v>05</v>
      </c>
      <c r="H307" s="5">
        <v>0</v>
      </c>
      <c r="I307" s="3" t="s">
        <v>11</v>
      </c>
    </row>
    <row r="308" customHeight="1" spans="1:9">
      <c r="A308" s="3" t="str">
        <f t="shared" si="25"/>
        <v>0102</v>
      </c>
      <c r="B308" s="3" t="s">
        <v>10</v>
      </c>
      <c r="C308" s="3" t="str">
        <f>"张娜"</f>
        <v>张娜</v>
      </c>
      <c r="D308" s="3" t="str">
        <f t="shared" si="28"/>
        <v>女</v>
      </c>
      <c r="E308" s="3" t="str">
        <f>"2507011106"</f>
        <v>2507011106</v>
      </c>
      <c r="F308" s="3" t="str">
        <f t="shared" si="29"/>
        <v>11</v>
      </c>
      <c r="G308" s="4" t="str">
        <f>"06"</f>
        <v>06</v>
      </c>
      <c r="H308" s="5">
        <v>76.5</v>
      </c>
      <c r="I308" s="3"/>
    </row>
    <row r="309" customHeight="1" spans="1:9">
      <c r="A309" s="3" t="str">
        <f t="shared" si="25"/>
        <v>0102</v>
      </c>
      <c r="B309" s="3" t="s">
        <v>10</v>
      </c>
      <c r="C309" s="3" t="str">
        <f>"赵慧"</f>
        <v>赵慧</v>
      </c>
      <c r="D309" s="3" t="str">
        <f t="shared" si="28"/>
        <v>女</v>
      </c>
      <c r="E309" s="3" t="str">
        <f>"2507011107"</f>
        <v>2507011107</v>
      </c>
      <c r="F309" s="3" t="str">
        <f t="shared" si="29"/>
        <v>11</v>
      </c>
      <c r="G309" s="4" t="str">
        <f>"07"</f>
        <v>07</v>
      </c>
      <c r="H309" s="5">
        <v>0</v>
      </c>
      <c r="I309" s="3" t="s">
        <v>11</v>
      </c>
    </row>
    <row r="310" customHeight="1" spans="1:9">
      <c r="A310" s="3" t="str">
        <f t="shared" si="25"/>
        <v>0102</v>
      </c>
      <c r="B310" s="3" t="s">
        <v>10</v>
      </c>
      <c r="C310" s="3" t="str">
        <f>"李芳"</f>
        <v>李芳</v>
      </c>
      <c r="D310" s="3" t="str">
        <f t="shared" si="28"/>
        <v>女</v>
      </c>
      <c r="E310" s="3" t="str">
        <f>"2507011108"</f>
        <v>2507011108</v>
      </c>
      <c r="F310" s="3" t="str">
        <f t="shared" si="29"/>
        <v>11</v>
      </c>
      <c r="G310" s="4" t="str">
        <f>"08"</f>
        <v>08</v>
      </c>
      <c r="H310" s="5">
        <v>68</v>
      </c>
      <c r="I310" s="3"/>
    </row>
    <row r="311" customHeight="1" spans="1:9">
      <c r="A311" s="3" t="str">
        <f t="shared" si="25"/>
        <v>0102</v>
      </c>
      <c r="B311" s="3" t="s">
        <v>10</v>
      </c>
      <c r="C311" s="3" t="str">
        <f>"李雨萌"</f>
        <v>李雨萌</v>
      </c>
      <c r="D311" s="3" t="str">
        <f t="shared" si="28"/>
        <v>女</v>
      </c>
      <c r="E311" s="3" t="str">
        <f>"2507011109"</f>
        <v>2507011109</v>
      </c>
      <c r="F311" s="3" t="str">
        <f t="shared" si="29"/>
        <v>11</v>
      </c>
      <c r="G311" s="4" t="str">
        <f>"09"</f>
        <v>09</v>
      </c>
      <c r="H311" s="5">
        <v>74</v>
      </c>
      <c r="I311" s="3"/>
    </row>
    <row r="312" customHeight="1" spans="1:9">
      <c r="A312" s="3" t="str">
        <f t="shared" si="25"/>
        <v>0102</v>
      </c>
      <c r="B312" s="3" t="s">
        <v>10</v>
      </c>
      <c r="C312" s="3" t="str">
        <f>"陈盈妤"</f>
        <v>陈盈妤</v>
      </c>
      <c r="D312" s="3" t="str">
        <f t="shared" si="28"/>
        <v>女</v>
      </c>
      <c r="E312" s="3" t="str">
        <f>"2507011110"</f>
        <v>2507011110</v>
      </c>
      <c r="F312" s="3" t="str">
        <f t="shared" si="29"/>
        <v>11</v>
      </c>
      <c r="G312" s="4" t="str">
        <f>"10"</f>
        <v>10</v>
      </c>
      <c r="H312" s="5">
        <v>69.5</v>
      </c>
      <c r="I312" s="3"/>
    </row>
    <row r="313" customHeight="1" spans="1:9">
      <c r="A313" s="3" t="str">
        <f t="shared" si="25"/>
        <v>0102</v>
      </c>
      <c r="B313" s="3" t="s">
        <v>10</v>
      </c>
      <c r="C313" s="3" t="str">
        <f>"魏莱"</f>
        <v>魏莱</v>
      </c>
      <c r="D313" s="3" t="str">
        <f t="shared" si="28"/>
        <v>女</v>
      </c>
      <c r="E313" s="3" t="str">
        <f>"2507011111"</f>
        <v>2507011111</v>
      </c>
      <c r="F313" s="3" t="str">
        <f t="shared" si="29"/>
        <v>11</v>
      </c>
      <c r="G313" s="4" t="str">
        <f>"11"</f>
        <v>11</v>
      </c>
      <c r="H313" s="5">
        <v>0</v>
      </c>
      <c r="I313" s="3" t="s">
        <v>11</v>
      </c>
    </row>
    <row r="314" customHeight="1" spans="1:9">
      <c r="A314" s="3" t="str">
        <f t="shared" si="25"/>
        <v>0102</v>
      </c>
      <c r="B314" s="3" t="s">
        <v>10</v>
      </c>
      <c r="C314" s="3" t="str">
        <f>"赵雨彤"</f>
        <v>赵雨彤</v>
      </c>
      <c r="D314" s="3" t="str">
        <f t="shared" si="28"/>
        <v>女</v>
      </c>
      <c r="E314" s="3" t="str">
        <f>"2507011112"</f>
        <v>2507011112</v>
      </c>
      <c r="F314" s="3" t="str">
        <f t="shared" si="29"/>
        <v>11</v>
      </c>
      <c r="G314" s="4" t="str">
        <f>"12"</f>
        <v>12</v>
      </c>
      <c r="H314" s="5">
        <v>73.5</v>
      </c>
      <c r="I314" s="3"/>
    </row>
    <row r="315" customHeight="1" spans="1:9">
      <c r="A315" s="3" t="str">
        <f t="shared" si="25"/>
        <v>0102</v>
      </c>
      <c r="B315" s="3" t="s">
        <v>10</v>
      </c>
      <c r="C315" s="3" t="str">
        <f>"左靖贻"</f>
        <v>左靖贻</v>
      </c>
      <c r="D315" s="3" t="str">
        <f t="shared" si="28"/>
        <v>女</v>
      </c>
      <c r="E315" s="3" t="str">
        <f>"2507011113"</f>
        <v>2507011113</v>
      </c>
      <c r="F315" s="3" t="str">
        <f t="shared" si="29"/>
        <v>11</v>
      </c>
      <c r="G315" s="4" t="str">
        <f>"13"</f>
        <v>13</v>
      </c>
      <c r="H315" s="5">
        <v>0</v>
      </c>
      <c r="I315" s="3" t="s">
        <v>11</v>
      </c>
    </row>
    <row r="316" customHeight="1" spans="1:9">
      <c r="A316" s="3" t="str">
        <f t="shared" si="25"/>
        <v>0102</v>
      </c>
      <c r="B316" s="3" t="s">
        <v>10</v>
      </c>
      <c r="C316" s="3" t="str">
        <f>"陈梦雅"</f>
        <v>陈梦雅</v>
      </c>
      <c r="D316" s="3" t="str">
        <f t="shared" si="28"/>
        <v>女</v>
      </c>
      <c r="E316" s="3" t="str">
        <f>"2507011114"</f>
        <v>2507011114</v>
      </c>
      <c r="F316" s="3" t="str">
        <f t="shared" si="29"/>
        <v>11</v>
      </c>
      <c r="G316" s="4" t="str">
        <f>"14"</f>
        <v>14</v>
      </c>
      <c r="H316" s="5">
        <v>0</v>
      </c>
      <c r="I316" s="3" t="s">
        <v>11</v>
      </c>
    </row>
    <row r="317" customHeight="1" spans="1:9">
      <c r="A317" s="3" t="str">
        <f t="shared" si="25"/>
        <v>0102</v>
      </c>
      <c r="B317" s="3" t="s">
        <v>10</v>
      </c>
      <c r="C317" s="3" t="str">
        <f>"李蒙珂"</f>
        <v>李蒙珂</v>
      </c>
      <c r="D317" s="3" t="str">
        <f t="shared" si="28"/>
        <v>女</v>
      </c>
      <c r="E317" s="3" t="str">
        <f>"2507011115"</f>
        <v>2507011115</v>
      </c>
      <c r="F317" s="3" t="str">
        <f t="shared" si="29"/>
        <v>11</v>
      </c>
      <c r="G317" s="4" t="str">
        <f>"15"</f>
        <v>15</v>
      </c>
      <c r="H317" s="5">
        <v>75.5</v>
      </c>
      <c r="I317" s="3"/>
    </row>
    <row r="318" customHeight="1" spans="1:9">
      <c r="A318" s="3" t="str">
        <f t="shared" si="25"/>
        <v>0102</v>
      </c>
      <c r="B318" s="3" t="s">
        <v>10</v>
      </c>
      <c r="C318" s="3" t="str">
        <f>"杨乐乐"</f>
        <v>杨乐乐</v>
      </c>
      <c r="D318" s="3" t="str">
        <f t="shared" si="28"/>
        <v>女</v>
      </c>
      <c r="E318" s="3" t="str">
        <f>"2507011116"</f>
        <v>2507011116</v>
      </c>
      <c r="F318" s="3" t="str">
        <f t="shared" si="29"/>
        <v>11</v>
      </c>
      <c r="G318" s="4" t="str">
        <f>"16"</f>
        <v>16</v>
      </c>
      <c r="H318" s="5">
        <v>64.5</v>
      </c>
      <c r="I318" s="3"/>
    </row>
    <row r="319" customHeight="1" spans="1:9">
      <c r="A319" s="3" t="str">
        <f t="shared" si="25"/>
        <v>0102</v>
      </c>
      <c r="B319" s="3" t="s">
        <v>10</v>
      </c>
      <c r="C319" s="3" t="str">
        <f>"吴晓"</f>
        <v>吴晓</v>
      </c>
      <c r="D319" s="3" t="str">
        <f t="shared" si="28"/>
        <v>女</v>
      </c>
      <c r="E319" s="3" t="str">
        <f>"2507011117"</f>
        <v>2507011117</v>
      </c>
      <c r="F319" s="3" t="str">
        <f t="shared" si="29"/>
        <v>11</v>
      </c>
      <c r="G319" s="4" t="str">
        <f>"17"</f>
        <v>17</v>
      </c>
      <c r="H319" s="5">
        <v>82</v>
      </c>
      <c r="I319" s="3"/>
    </row>
    <row r="320" customHeight="1" spans="1:9">
      <c r="A320" s="3" t="str">
        <f t="shared" si="25"/>
        <v>0102</v>
      </c>
      <c r="B320" s="3" t="s">
        <v>10</v>
      </c>
      <c r="C320" s="3" t="str">
        <f>"刘亚楠"</f>
        <v>刘亚楠</v>
      </c>
      <c r="D320" s="3" t="str">
        <f t="shared" si="28"/>
        <v>女</v>
      </c>
      <c r="E320" s="3" t="str">
        <f>"2507011118"</f>
        <v>2507011118</v>
      </c>
      <c r="F320" s="3" t="str">
        <f t="shared" si="29"/>
        <v>11</v>
      </c>
      <c r="G320" s="4" t="str">
        <f>"18"</f>
        <v>18</v>
      </c>
      <c r="H320" s="5">
        <v>77</v>
      </c>
      <c r="I320" s="3"/>
    </row>
    <row r="321" customHeight="1" spans="1:9">
      <c r="A321" s="3" t="str">
        <f t="shared" si="25"/>
        <v>0102</v>
      </c>
      <c r="B321" s="3" t="s">
        <v>10</v>
      </c>
      <c r="C321" s="3" t="str">
        <f>"曹月琪"</f>
        <v>曹月琪</v>
      </c>
      <c r="D321" s="3" t="str">
        <f t="shared" si="28"/>
        <v>女</v>
      </c>
      <c r="E321" s="3" t="str">
        <f>"2507011119"</f>
        <v>2507011119</v>
      </c>
      <c r="F321" s="3" t="str">
        <f t="shared" si="29"/>
        <v>11</v>
      </c>
      <c r="G321" s="4" t="str">
        <f>"19"</f>
        <v>19</v>
      </c>
      <c r="H321" s="5">
        <v>74</v>
      </c>
      <c r="I321" s="3"/>
    </row>
    <row r="322" customHeight="1" spans="1:9">
      <c r="A322" s="3" t="str">
        <f t="shared" si="25"/>
        <v>0102</v>
      </c>
      <c r="B322" s="3" t="s">
        <v>10</v>
      </c>
      <c r="C322" s="3" t="str">
        <f>"黄天琪"</f>
        <v>黄天琪</v>
      </c>
      <c r="D322" s="3" t="str">
        <f t="shared" si="28"/>
        <v>女</v>
      </c>
      <c r="E322" s="3" t="str">
        <f>"2507011120"</f>
        <v>2507011120</v>
      </c>
      <c r="F322" s="3" t="str">
        <f t="shared" si="29"/>
        <v>11</v>
      </c>
      <c r="G322" s="4" t="str">
        <f>"20"</f>
        <v>20</v>
      </c>
      <c r="H322" s="5">
        <v>63</v>
      </c>
      <c r="I322" s="3"/>
    </row>
    <row r="323" customHeight="1" spans="1:9">
      <c r="A323" s="3" t="str">
        <f t="shared" ref="A323:A386" si="30">"0102"</f>
        <v>0102</v>
      </c>
      <c r="B323" s="3" t="s">
        <v>10</v>
      </c>
      <c r="C323" s="3" t="str">
        <f>"沈筱"</f>
        <v>沈筱</v>
      </c>
      <c r="D323" s="3" t="str">
        <f t="shared" si="28"/>
        <v>女</v>
      </c>
      <c r="E323" s="3" t="str">
        <f>"2507011121"</f>
        <v>2507011121</v>
      </c>
      <c r="F323" s="3" t="str">
        <f t="shared" si="29"/>
        <v>11</v>
      </c>
      <c r="G323" s="4" t="str">
        <f>"21"</f>
        <v>21</v>
      </c>
      <c r="H323" s="5">
        <v>76</v>
      </c>
      <c r="I323" s="3"/>
    </row>
    <row r="324" customHeight="1" spans="1:9">
      <c r="A324" s="3" t="str">
        <f t="shared" si="30"/>
        <v>0102</v>
      </c>
      <c r="B324" s="3" t="s">
        <v>10</v>
      </c>
      <c r="C324" s="3" t="str">
        <f>"于肖霞"</f>
        <v>于肖霞</v>
      </c>
      <c r="D324" s="3" t="str">
        <f t="shared" si="28"/>
        <v>女</v>
      </c>
      <c r="E324" s="3" t="str">
        <f>"2507011122"</f>
        <v>2507011122</v>
      </c>
      <c r="F324" s="3" t="str">
        <f t="shared" si="29"/>
        <v>11</v>
      </c>
      <c r="G324" s="4" t="str">
        <f>"22"</f>
        <v>22</v>
      </c>
      <c r="H324" s="5">
        <v>72.5</v>
      </c>
      <c r="I324" s="3"/>
    </row>
    <row r="325" customHeight="1" spans="1:9">
      <c r="A325" s="3" t="str">
        <f t="shared" si="30"/>
        <v>0102</v>
      </c>
      <c r="B325" s="3" t="s">
        <v>10</v>
      </c>
      <c r="C325" s="3" t="str">
        <f>"王斐"</f>
        <v>王斐</v>
      </c>
      <c r="D325" s="3" t="str">
        <f t="shared" si="28"/>
        <v>女</v>
      </c>
      <c r="E325" s="3" t="str">
        <f>"2507011123"</f>
        <v>2507011123</v>
      </c>
      <c r="F325" s="3" t="str">
        <f t="shared" si="29"/>
        <v>11</v>
      </c>
      <c r="G325" s="4" t="str">
        <f>"23"</f>
        <v>23</v>
      </c>
      <c r="H325" s="5">
        <v>0</v>
      </c>
      <c r="I325" s="3" t="s">
        <v>11</v>
      </c>
    </row>
    <row r="326" customHeight="1" spans="1:9">
      <c r="A326" s="3" t="str">
        <f t="shared" si="30"/>
        <v>0102</v>
      </c>
      <c r="B326" s="3" t="s">
        <v>10</v>
      </c>
      <c r="C326" s="3" t="str">
        <f>"薛文倩"</f>
        <v>薛文倩</v>
      </c>
      <c r="D326" s="3" t="str">
        <f t="shared" si="28"/>
        <v>女</v>
      </c>
      <c r="E326" s="3" t="str">
        <f>"2507011124"</f>
        <v>2507011124</v>
      </c>
      <c r="F326" s="3" t="str">
        <f t="shared" si="29"/>
        <v>11</v>
      </c>
      <c r="G326" s="4" t="str">
        <f>"24"</f>
        <v>24</v>
      </c>
      <c r="H326" s="5">
        <v>76.5</v>
      </c>
      <c r="I326" s="3"/>
    </row>
    <row r="327" customHeight="1" spans="1:9">
      <c r="A327" s="3" t="str">
        <f t="shared" si="30"/>
        <v>0102</v>
      </c>
      <c r="B327" s="3" t="s">
        <v>10</v>
      </c>
      <c r="C327" s="3" t="str">
        <f>"付倩玉"</f>
        <v>付倩玉</v>
      </c>
      <c r="D327" s="3" t="str">
        <f t="shared" si="28"/>
        <v>女</v>
      </c>
      <c r="E327" s="3" t="str">
        <f>"2507011125"</f>
        <v>2507011125</v>
      </c>
      <c r="F327" s="3" t="str">
        <f t="shared" si="29"/>
        <v>11</v>
      </c>
      <c r="G327" s="4" t="str">
        <f>"25"</f>
        <v>25</v>
      </c>
      <c r="H327" s="5">
        <v>0</v>
      </c>
      <c r="I327" s="3" t="s">
        <v>11</v>
      </c>
    </row>
    <row r="328" customHeight="1" spans="1:9">
      <c r="A328" s="3" t="str">
        <f t="shared" si="30"/>
        <v>0102</v>
      </c>
      <c r="B328" s="3" t="s">
        <v>10</v>
      </c>
      <c r="C328" s="3" t="str">
        <f>"常敏"</f>
        <v>常敏</v>
      </c>
      <c r="D328" s="3" t="str">
        <f t="shared" si="28"/>
        <v>女</v>
      </c>
      <c r="E328" s="3" t="str">
        <f>"2507011126"</f>
        <v>2507011126</v>
      </c>
      <c r="F328" s="3" t="str">
        <f t="shared" si="29"/>
        <v>11</v>
      </c>
      <c r="G328" s="4" t="str">
        <f>"26"</f>
        <v>26</v>
      </c>
      <c r="H328" s="5">
        <v>76</v>
      </c>
      <c r="I328" s="3"/>
    </row>
    <row r="329" customHeight="1" spans="1:9">
      <c r="A329" s="3" t="str">
        <f t="shared" si="30"/>
        <v>0102</v>
      </c>
      <c r="B329" s="3" t="s">
        <v>10</v>
      </c>
      <c r="C329" s="3" t="str">
        <f>"赵成将"</f>
        <v>赵成将</v>
      </c>
      <c r="D329" s="3" t="str">
        <f>"男"</f>
        <v>男</v>
      </c>
      <c r="E329" s="3" t="str">
        <f>"2507011127"</f>
        <v>2507011127</v>
      </c>
      <c r="F329" s="3" t="str">
        <f t="shared" si="29"/>
        <v>11</v>
      </c>
      <c r="G329" s="4" t="str">
        <f>"27"</f>
        <v>27</v>
      </c>
      <c r="H329" s="5">
        <v>81</v>
      </c>
      <c r="I329" s="3"/>
    </row>
    <row r="330" customHeight="1" spans="1:9">
      <c r="A330" s="3" t="str">
        <f t="shared" si="30"/>
        <v>0102</v>
      </c>
      <c r="B330" s="3" t="s">
        <v>10</v>
      </c>
      <c r="C330" s="3" t="str">
        <f>"单金娴"</f>
        <v>单金娴</v>
      </c>
      <c r="D330" s="3" t="str">
        <f t="shared" ref="D330:D340" si="31">"女"</f>
        <v>女</v>
      </c>
      <c r="E330" s="3" t="str">
        <f>"2507011128"</f>
        <v>2507011128</v>
      </c>
      <c r="F330" s="3" t="str">
        <f t="shared" si="29"/>
        <v>11</v>
      </c>
      <c r="G330" s="4" t="str">
        <f>"28"</f>
        <v>28</v>
      </c>
      <c r="H330" s="5">
        <v>0</v>
      </c>
      <c r="I330" s="3" t="s">
        <v>11</v>
      </c>
    </row>
    <row r="331" customHeight="1" spans="1:9">
      <c r="A331" s="3" t="str">
        <f t="shared" si="30"/>
        <v>0102</v>
      </c>
      <c r="B331" s="3" t="s">
        <v>10</v>
      </c>
      <c r="C331" s="3" t="str">
        <f>"赵琪琪"</f>
        <v>赵琪琪</v>
      </c>
      <c r="D331" s="3" t="str">
        <f t="shared" si="31"/>
        <v>女</v>
      </c>
      <c r="E331" s="3" t="str">
        <f>"2507011129"</f>
        <v>2507011129</v>
      </c>
      <c r="F331" s="3" t="str">
        <f t="shared" si="29"/>
        <v>11</v>
      </c>
      <c r="G331" s="4" t="str">
        <f>"29"</f>
        <v>29</v>
      </c>
      <c r="H331" s="5">
        <v>76.5</v>
      </c>
      <c r="I331" s="3"/>
    </row>
    <row r="332" customHeight="1" spans="1:9">
      <c r="A332" s="3" t="str">
        <f t="shared" si="30"/>
        <v>0102</v>
      </c>
      <c r="B332" s="3" t="s">
        <v>10</v>
      </c>
      <c r="C332" s="3" t="str">
        <f>"张晴"</f>
        <v>张晴</v>
      </c>
      <c r="D332" s="3" t="str">
        <f t="shared" si="31"/>
        <v>女</v>
      </c>
      <c r="E332" s="3" t="str">
        <f>"2507011130"</f>
        <v>2507011130</v>
      </c>
      <c r="F332" s="3" t="str">
        <f t="shared" si="29"/>
        <v>11</v>
      </c>
      <c r="G332" s="4" t="str">
        <f>"30"</f>
        <v>30</v>
      </c>
      <c r="H332" s="5">
        <v>0</v>
      </c>
      <c r="I332" s="3" t="s">
        <v>11</v>
      </c>
    </row>
    <row r="333" customHeight="1" spans="1:9">
      <c r="A333" s="3" t="str">
        <f t="shared" si="30"/>
        <v>0102</v>
      </c>
      <c r="B333" s="3" t="s">
        <v>10</v>
      </c>
      <c r="C333" s="3" t="str">
        <f>"李文慧"</f>
        <v>李文慧</v>
      </c>
      <c r="D333" s="3" t="str">
        <f t="shared" si="31"/>
        <v>女</v>
      </c>
      <c r="E333" s="3" t="str">
        <f>"2507011201"</f>
        <v>2507011201</v>
      </c>
      <c r="F333" s="3" t="str">
        <f t="shared" ref="F333:F362" si="32">"12"</f>
        <v>12</v>
      </c>
      <c r="G333" s="4" t="str">
        <f>"01"</f>
        <v>01</v>
      </c>
      <c r="H333" s="5">
        <v>0</v>
      </c>
      <c r="I333" s="3" t="s">
        <v>11</v>
      </c>
    </row>
    <row r="334" customHeight="1" spans="1:9">
      <c r="A334" s="3" t="str">
        <f t="shared" si="30"/>
        <v>0102</v>
      </c>
      <c r="B334" s="3" t="s">
        <v>10</v>
      </c>
      <c r="C334" s="3" t="str">
        <f>"田雪燕"</f>
        <v>田雪燕</v>
      </c>
      <c r="D334" s="3" t="str">
        <f t="shared" si="31"/>
        <v>女</v>
      </c>
      <c r="E334" s="3" t="str">
        <f>"2507011202"</f>
        <v>2507011202</v>
      </c>
      <c r="F334" s="3" t="str">
        <f t="shared" si="32"/>
        <v>12</v>
      </c>
      <c r="G334" s="4" t="str">
        <f>"02"</f>
        <v>02</v>
      </c>
      <c r="H334" s="5">
        <v>82</v>
      </c>
      <c r="I334" s="3"/>
    </row>
    <row r="335" customHeight="1" spans="1:9">
      <c r="A335" s="3" t="str">
        <f t="shared" si="30"/>
        <v>0102</v>
      </c>
      <c r="B335" s="3" t="s">
        <v>10</v>
      </c>
      <c r="C335" s="3" t="str">
        <f>"戚艳"</f>
        <v>戚艳</v>
      </c>
      <c r="D335" s="3" t="str">
        <f t="shared" si="31"/>
        <v>女</v>
      </c>
      <c r="E335" s="3" t="str">
        <f>"2507011203"</f>
        <v>2507011203</v>
      </c>
      <c r="F335" s="3" t="str">
        <f t="shared" si="32"/>
        <v>12</v>
      </c>
      <c r="G335" s="4" t="str">
        <f>"03"</f>
        <v>03</v>
      </c>
      <c r="H335" s="5">
        <v>51.5</v>
      </c>
      <c r="I335" s="3"/>
    </row>
    <row r="336" customHeight="1" spans="1:9">
      <c r="A336" s="3" t="str">
        <f t="shared" si="30"/>
        <v>0102</v>
      </c>
      <c r="B336" s="3" t="s">
        <v>10</v>
      </c>
      <c r="C336" s="3" t="str">
        <f>"郝梦凡"</f>
        <v>郝梦凡</v>
      </c>
      <c r="D336" s="3" t="str">
        <f t="shared" si="31"/>
        <v>女</v>
      </c>
      <c r="E336" s="3" t="str">
        <f>"2507011204"</f>
        <v>2507011204</v>
      </c>
      <c r="F336" s="3" t="str">
        <f t="shared" si="32"/>
        <v>12</v>
      </c>
      <c r="G336" s="4" t="str">
        <f>"04"</f>
        <v>04</v>
      </c>
      <c r="H336" s="5">
        <v>0</v>
      </c>
      <c r="I336" s="3" t="s">
        <v>11</v>
      </c>
    </row>
    <row r="337" customHeight="1" spans="1:9">
      <c r="A337" s="3" t="str">
        <f t="shared" si="30"/>
        <v>0102</v>
      </c>
      <c r="B337" s="3" t="s">
        <v>10</v>
      </c>
      <c r="C337" s="3" t="str">
        <f>"陶倩"</f>
        <v>陶倩</v>
      </c>
      <c r="D337" s="3" t="str">
        <f t="shared" si="31"/>
        <v>女</v>
      </c>
      <c r="E337" s="3" t="str">
        <f>"2507011205"</f>
        <v>2507011205</v>
      </c>
      <c r="F337" s="3" t="str">
        <f t="shared" si="32"/>
        <v>12</v>
      </c>
      <c r="G337" s="4" t="str">
        <f>"05"</f>
        <v>05</v>
      </c>
      <c r="H337" s="5">
        <v>71.5</v>
      </c>
      <c r="I337" s="3"/>
    </row>
    <row r="338" customHeight="1" spans="1:9">
      <c r="A338" s="3" t="str">
        <f t="shared" si="30"/>
        <v>0102</v>
      </c>
      <c r="B338" s="3" t="s">
        <v>10</v>
      </c>
      <c r="C338" s="3" t="str">
        <f>"时一冉"</f>
        <v>时一冉</v>
      </c>
      <c r="D338" s="3" t="str">
        <f t="shared" si="31"/>
        <v>女</v>
      </c>
      <c r="E338" s="3" t="str">
        <f>"2507011206"</f>
        <v>2507011206</v>
      </c>
      <c r="F338" s="3" t="str">
        <f t="shared" si="32"/>
        <v>12</v>
      </c>
      <c r="G338" s="4" t="str">
        <f>"06"</f>
        <v>06</v>
      </c>
      <c r="H338" s="5">
        <v>0</v>
      </c>
      <c r="I338" s="3" t="s">
        <v>11</v>
      </c>
    </row>
    <row r="339" customHeight="1" spans="1:9">
      <c r="A339" s="3" t="str">
        <f t="shared" si="30"/>
        <v>0102</v>
      </c>
      <c r="B339" s="3" t="s">
        <v>10</v>
      </c>
      <c r="C339" s="3" t="str">
        <f>"刘欢"</f>
        <v>刘欢</v>
      </c>
      <c r="D339" s="3" t="str">
        <f t="shared" si="31"/>
        <v>女</v>
      </c>
      <c r="E339" s="3" t="str">
        <f>"2507011207"</f>
        <v>2507011207</v>
      </c>
      <c r="F339" s="3" t="str">
        <f t="shared" si="32"/>
        <v>12</v>
      </c>
      <c r="G339" s="4" t="str">
        <f>"07"</f>
        <v>07</v>
      </c>
      <c r="H339" s="5">
        <v>76.5</v>
      </c>
      <c r="I339" s="3"/>
    </row>
    <row r="340" customHeight="1" spans="1:9">
      <c r="A340" s="3" t="str">
        <f t="shared" si="30"/>
        <v>0102</v>
      </c>
      <c r="B340" s="3" t="s">
        <v>10</v>
      </c>
      <c r="C340" s="3" t="str">
        <f>"张丽君"</f>
        <v>张丽君</v>
      </c>
      <c r="D340" s="3" t="str">
        <f t="shared" si="31"/>
        <v>女</v>
      </c>
      <c r="E340" s="3" t="str">
        <f>"2507011208"</f>
        <v>2507011208</v>
      </c>
      <c r="F340" s="3" t="str">
        <f t="shared" si="32"/>
        <v>12</v>
      </c>
      <c r="G340" s="4" t="str">
        <f>"08"</f>
        <v>08</v>
      </c>
      <c r="H340" s="5">
        <v>70.5</v>
      </c>
      <c r="I340" s="3"/>
    </row>
    <row r="341" customHeight="1" spans="1:9">
      <c r="A341" s="3" t="str">
        <f t="shared" si="30"/>
        <v>0102</v>
      </c>
      <c r="B341" s="3" t="s">
        <v>10</v>
      </c>
      <c r="C341" s="3" t="str">
        <f>"张强"</f>
        <v>张强</v>
      </c>
      <c r="D341" s="3" t="str">
        <f>"男"</f>
        <v>男</v>
      </c>
      <c r="E341" s="3" t="str">
        <f>"2507011209"</f>
        <v>2507011209</v>
      </c>
      <c r="F341" s="3" t="str">
        <f t="shared" si="32"/>
        <v>12</v>
      </c>
      <c r="G341" s="4" t="str">
        <f>"09"</f>
        <v>09</v>
      </c>
      <c r="H341" s="5">
        <v>77.5</v>
      </c>
      <c r="I341" s="3"/>
    </row>
    <row r="342" customHeight="1" spans="1:9">
      <c r="A342" s="3" t="str">
        <f t="shared" si="30"/>
        <v>0102</v>
      </c>
      <c r="B342" s="3" t="s">
        <v>10</v>
      </c>
      <c r="C342" s="3" t="str">
        <f>"林于卜"</f>
        <v>林于卜</v>
      </c>
      <c r="D342" s="3" t="str">
        <f>"女"</f>
        <v>女</v>
      </c>
      <c r="E342" s="3" t="str">
        <f>"2507011210"</f>
        <v>2507011210</v>
      </c>
      <c r="F342" s="3" t="str">
        <f t="shared" si="32"/>
        <v>12</v>
      </c>
      <c r="G342" s="4" t="str">
        <f>"10"</f>
        <v>10</v>
      </c>
      <c r="H342" s="5">
        <v>0</v>
      </c>
      <c r="I342" s="3" t="s">
        <v>11</v>
      </c>
    </row>
    <row r="343" customHeight="1" spans="1:9">
      <c r="A343" s="3" t="str">
        <f t="shared" si="30"/>
        <v>0102</v>
      </c>
      <c r="B343" s="3" t="s">
        <v>10</v>
      </c>
      <c r="C343" s="3" t="str">
        <f>"徐上"</f>
        <v>徐上</v>
      </c>
      <c r="D343" s="3" t="str">
        <f>"女"</f>
        <v>女</v>
      </c>
      <c r="E343" s="3" t="str">
        <f>"2507011211"</f>
        <v>2507011211</v>
      </c>
      <c r="F343" s="3" t="str">
        <f t="shared" si="32"/>
        <v>12</v>
      </c>
      <c r="G343" s="4" t="str">
        <f>"11"</f>
        <v>11</v>
      </c>
      <c r="H343" s="5">
        <v>78.5</v>
      </c>
      <c r="I343" s="3"/>
    </row>
    <row r="344" customHeight="1" spans="1:9">
      <c r="A344" s="3" t="str">
        <f t="shared" si="30"/>
        <v>0102</v>
      </c>
      <c r="B344" s="3" t="s">
        <v>10</v>
      </c>
      <c r="C344" s="3" t="str">
        <f>"申心莹"</f>
        <v>申心莹</v>
      </c>
      <c r="D344" s="3" t="str">
        <f>"女"</f>
        <v>女</v>
      </c>
      <c r="E344" s="3" t="str">
        <f>"2507011212"</f>
        <v>2507011212</v>
      </c>
      <c r="F344" s="3" t="str">
        <f t="shared" si="32"/>
        <v>12</v>
      </c>
      <c r="G344" s="4" t="str">
        <f>"12"</f>
        <v>12</v>
      </c>
      <c r="H344" s="5">
        <v>81</v>
      </c>
      <c r="I344" s="3"/>
    </row>
    <row r="345" customHeight="1" spans="1:9">
      <c r="A345" s="3" t="str">
        <f t="shared" si="30"/>
        <v>0102</v>
      </c>
      <c r="B345" s="3" t="s">
        <v>10</v>
      </c>
      <c r="C345" s="3" t="str">
        <f>"冯英翔"</f>
        <v>冯英翔</v>
      </c>
      <c r="D345" s="3" t="str">
        <f>"男"</f>
        <v>男</v>
      </c>
      <c r="E345" s="3" t="str">
        <f>"2507011213"</f>
        <v>2507011213</v>
      </c>
      <c r="F345" s="3" t="str">
        <f t="shared" si="32"/>
        <v>12</v>
      </c>
      <c r="G345" s="4" t="str">
        <f>"13"</f>
        <v>13</v>
      </c>
      <c r="H345" s="5">
        <v>80</v>
      </c>
      <c r="I345" s="3"/>
    </row>
    <row r="346" customHeight="1" spans="1:9">
      <c r="A346" s="3" t="str">
        <f t="shared" si="30"/>
        <v>0102</v>
      </c>
      <c r="B346" s="3" t="s">
        <v>10</v>
      </c>
      <c r="C346" s="3" t="str">
        <f>"陈婧敏"</f>
        <v>陈婧敏</v>
      </c>
      <c r="D346" s="3" t="str">
        <f>"女"</f>
        <v>女</v>
      </c>
      <c r="E346" s="3" t="str">
        <f>"2507011214"</f>
        <v>2507011214</v>
      </c>
      <c r="F346" s="3" t="str">
        <f t="shared" si="32"/>
        <v>12</v>
      </c>
      <c r="G346" s="4" t="str">
        <f>"14"</f>
        <v>14</v>
      </c>
      <c r="H346" s="5">
        <v>76.5</v>
      </c>
      <c r="I346" s="3"/>
    </row>
    <row r="347" customHeight="1" spans="1:9">
      <c r="A347" s="3" t="str">
        <f t="shared" si="30"/>
        <v>0102</v>
      </c>
      <c r="B347" s="3" t="s">
        <v>10</v>
      </c>
      <c r="C347" s="3" t="str">
        <f>"孙茜"</f>
        <v>孙茜</v>
      </c>
      <c r="D347" s="3" t="str">
        <f>"女"</f>
        <v>女</v>
      </c>
      <c r="E347" s="3" t="str">
        <f>"2507011215"</f>
        <v>2507011215</v>
      </c>
      <c r="F347" s="3" t="str">
        <f t="shared" si="32"/>
        <v>12</v>
      </c>
      <c r="G347" s="4" t="str">
        <f>"15"</f>
        <v>15</v>
      </c>
      <c r="H347" s="5">
        <v>60.5</v>
      </c>
      <c r="I347" s="3"/>
    </row>
    <row r="348" customHeight="1" spans="1:9">
      <c r="A348" s="3" t="str">
        <f t="shared" si="30"/>
        <v>0102</v>
      </c>
      <c r="B348" s="3" t="s">
        <v>10</v>
      </c>
      <c r="C348" s="3" t="str">
        <f>"李漂漂"</f>
        <v>李漂漂</v>
      </c>
      <c r="D348" s="3" t="str">
        <f>"女"</f>
        <v>女</v>
      </c>
      <c r="E348" s="3" t="str">
        <f>"2507011216"</f>
        <v>2507011216</v>
      </c>
      <c r="F348" s="3" t="str">
        <f t="shared" si="32"/>
        <v>12</v>
      </c>
      <c r="G348" s="4" t="str">
        <f>"16"</f>
        <v>16</v>
      </c>
      <c r="H348" s="5">
        <v>68</v>
      </c>
      <c r="I348" s="3"/>
    </row>
    <row r="349" customHeight="1" spans="1:9">
      <c r="A349" s="3" t="str">
        <f t="shared" si="30"/>
        <v>0102</v>
      </c>
      <c r="B349" s="3" t="s">
        <v>10</v>
      </c>
      <c r="C349" s="3" t="str">
        <f>"刘雯淼"</f>
        <v>刘雯淼</v>
      </c>
      <c r="D349" s="3" t="str">
        <f>"女"</f>
        <v>女</v>
      </c>
      <c r="E349" s="3" t="str">
        <f>"2507011217"</f>
        <v>2507011217</v>
      </c>
      <c r="F349" s="3" t="str">
        <f t="shared" si="32"/>
        <v>12</v>
      </c>
      <c r="G349" s="4" t="str">
        <f>"17"</f>
        <v>17</v>
      </c>
      <c r="H349" s="5">
        <v>73</v>
      </c>
      <c r="I349" s="3"/>
    </row>
    <row r="350" customHeight="1" spans="1:9">
      <c r="A350" s="3" t="str">
        <f t="shared" si="30"/>
        <v>0102</v>
      </c>
      <c r="B350" s="3" t="s">
        <v>10</v>
      </c>
      <c r="C350" s="3" t="str">
        <f>"张慧慧"</f>
        <v>张慧慧</v>
      </c>
      <c r="D350" s="3" t="str">
        <f>"女"</f>
        <v>女</v>
      </c>
      <c r="E350" s="3" t="str">
        <f>"2507011218"</f>
        <v>2507011218</v>
      </c>
      <c r="F350" s="3" t="str">
        <f t="shared" si="32"/>
        <v>12</v>
      </c>
      <c r="G350" s="4" t="str">
        <f>"18"</f>
        <v>18</v>
      </c>
      <c r="H350" s="5">
        <v>0</v>
      </c>
      <c r="I350" s="3" t="s">
        <v>11</v>
      </c>
    </row>
    <row r="351" customHeight="1" spans="1:9">
      <c r="A351" s="3" t="str">
        <f t="shared" si="30"/>
        <v>0102</v>
      </c>
      <c r="B351" s="3" t="s">
        <v>10</v>
      </c>
      <c r="C351" s="3" t="str">
        <f>"高子腾"</f>
        <v>高子腾</v>
      </c>
      <c r="D351" s="3" t="str">
        <f>"男"</f>
        <v>男</v>
      </c>
      <c r="E351" s="3" t="str">
        <f>"2507011219"</f>
        <v>2507011219</v>
      </c>
      <c r="F351" s="3" t="str">
        <f t="shared" si="32"/>
        <v>12</v>
      </c>
      <c r="G351" s="4" t="str">
        <f>"19"</f>
        <v>19</v>
      </c>
      <c r="H351" s="5">
        <v>0</v>
      </c>
      <c r="I351" s="3" t="s">
        <v>11</v>
      </c>
    </row>
    <row r="352" customHeight="1" spans="1:9">
      <c r="A352" s="3" t="str">
        <f t="shared" si="30"/>
        <v>0102</v>
      </c>
      <c r="B352" s="3" t="s">
        <v>10</v>
      </c>
      <c r="C352" s="3" t="str">
        <f>"顾惠萍"</f>
        <v>顾惠萍</v>
      </c>
      <c r="D352" s="3" t="str">
        <f t="shared" ref="D352:D385" si="33">"女"</f>
        <v>女</v>
      </c>
      <c r="E352" s="3" t="str">
        <f>"2507011220"</f>
        <v>2507011220</v>
      </c>
      <c r="F352" s="3" t="str">
        <f t="shared" si="32"/>
        <v>12</v>
      </c>
      <c r="G352" s="4" t="str">
        <f>"20"</f>
        <v>20</v>
      </c>
      <c r="H352" s="5">
        <v>64</v>
      </c>
      <c r="I352" s="3"/>
    </row>
    <row r="353" customHeight="1" spans="1:9">
      <c r="A353" s="3" t="str">
        <f t="shared" si="30"/>
        <v>0102</v>
      </c>
      <c r="B353" s="3" t="s">
        <v>10</v>
      </c>
      <c r="C353" s="3" t="str">
        <f>"黄玮"</f>
        <v>黄玮</v>
      </c>
      <c r="D353" s="3" t="str">
        <f t="shared" si="33"/>
        <v>女</v>
      </c>
      <c r="E353" s="3" t="str">
        <f>"2507011221"</f>
        <v>2507011221</v>
      </c>
      <c r="F353" s="3" t="str">
        <f t="shared" si="32"/>
        <v>12</v>
      </c>
      <c r="G353" s="4" t="str">
        <f>"21"</f>
        <v>21</v>
      </c>
      <c r="H353" s="5">
        <v>85.5</v>
      </c>
      <c r="I353" s="3"/>
    </row>
    <row r="354" customHeight="1" spans="1:9">
      <c r="A354" s="3" t="str">
        <f t="shared" si="30"/>
        <v>0102</v>
      </c>
      <c r="B354" s="3" t="s">
        <v>10</v>
      </c>
      <c r="C354" s="3" t="str">
        <f>"吴莉"</f>
        <v>吴莉</v>
      </c>
      <c r="D354" s="3" t="str">
        <f t="shared" si="33"/>
        <v>女</v>
      </c>
      <c r="E354" s="3" t="str">
        <f>"2507011222"</f>
        <v>2507011222</v>
      </c>
      <c r="F354" s="3" t="str">
        <f t="shared" si="32"/>
        <v>12</v>
      </c>
      <c r="G354" s="4" t="str">
        <f>"22"</f>
        <v>22</v>
      </c>
      <c r="H354" s="5">
        <v>81</v>
      </c>
      <c r="I354" s="3"/>
    </row>
    <row r="355" customHeight="1" spans="1:9">
      <c r="A355" s="3" t="str">
        <f t="shared" si="30"/>
        <v>0102</v>
      </c>
      <c r="B355" s="3" t="s">
        <v>10</v>
      </c>
      <c r="C355" s="3" t="str">
        <f>"冯芝"</f>
        <v>冯芝</v>
      </c>
      <c r="D355" s="3" t="str">
        <f t="shared" si="33"/>
        <v>女</v>
      </c>
      <c r="E355" s="3" t="str">
        <f>"2507011223"</f>
        <v>2507011223</v>
      </c>
      <c r="F355" s="3" t="str">
        <f t="shared" si="32"/>
        <v>12</v>
      </c>
      <c r="G355" s="4" t="str">
        <f>"23"</f>
        <v>23</v>
      </c>
      <c r="H355" s="5">
        <v>69</v>
      </c>
      <c r="I355" s="3"/>
    </row>
    <row r="356" customHeight="1" spans="1:9">
      <c r="A356" s="3" t="str">
        <f t="shared" si="30"/>
        <v>0102</v>
      </c>
      <c r="B356" s="3" t="s">
        <v>10</v>
      </c>
      <c r="C356" s="3" t="str">
        <f>"刘颖"</f>
        <v>刘颖</v>
      </c>
      <c r="D356" s="3" t="str">
        <f t="shared" si="33"/>
        <v>女</v>
      </c>
      <c r="E356" s="3" t="str">
        <f>"2507011224"</f>
        <v>2507011224</v>
      </c>
      <c r="F356" s="3" t="str">
        <f t="shared" si="32"/>
        <v>12</v>
      </c>
      <c r="G356" s="4" t="str">
        <f>"24"</f>
        <v>24</v>
      </c>
      <c r="H356" s="5">
        <v>79.5</v>
      </c>
      <c r="I356" s="3"/>
    </row>
    <row r="357" customHeight="1" spans="1:9">
      <c r="A357" s="3" t="str">
        <f t="shared" si="30"/>
        <v>0102</v>
      </c>
      <c r="B357" s="3" t="s">
        <v>10</v>
      </c>
      <c r="C357" s="3" t="str">
        <f>"丁婷"</f>
        <v>丁婷</v>
      </c>
      <c r="D357" s="3" t="str">
        <f t="shared" si="33"/>
        <v>女</v>
      </c>
      <c r="E357" s="3" t="str">
        <f>"2507011225"</f>
        <v>2507011225</v>
      </c>
      <c r="F357" s="3" t="str">
        <f t="shared" si="32"/>
        <v>12</v>
      </c>
      <c r="G357" s="4" t="str">
        <f>"25"</f>
        <v>25</v>
      </c>
      <c r="H357" s="5">
        <v>0</v>
      </c>
      <c r="I357" s="3" t="s">
        <v>11</v>
      </c>
    </row>
    <row r="358" customHeight="1" spans="1:9">
      <c r="A358" s="3" t="str">
        <f t="shared" si="30"/>
        <v>0102</v>
      </c>
      <c r="B358" s="3" t="s">
        <v>10</v>
      </c>
      <c r="C358" s="3" t="str">
        <f>"王皓雪"</f>
        <v>王皓雪</v>
      </c>
      <c r="D358" s="3" t="str">
        <f t="shared" si="33"/>
        <v>女</v>
      </c>
      <c r="E358" s="3" t="str">
        <f>"2507011226"</f>
        <v>2507011226</v>
      </c>
      <c r="F358" s="3" t="str">
        <f t="shared" si="32"/>
        <v>12</v>
      </c>
      <c r="G358" s="4" t="str">
        <f>"26"</f>
        <v>26</v>
      </c>
      <c r="H358" s="5">
        <v>79.5</v>
      </c>
      <c r="I358" s="3"/>
    </row>
    <row r="359" customHeight="1" spans="1:9">
      <c r="A359" s="3" t="str">
        <f t="shared" si="30"/>
        <v>0102</v>
      </c>
      <c r="B359" s="3" t="s">
        <v>10</v>
      </c>
      <c r="C359" s="3" t="str">
        <f>"顾红艳"</f>
        <v>顾红艳</v>
      </c>
      <c r="D359" s="3" t="str">
        <f t="shared" si="33"/>
        <v>女</v>
      </c>
      <c r="E359" s="3" t="str">
        <f>"2507011227"</f>
        <v>2507011227</v>
      </c>
      <c r="F359" s="3" t="str">
        <f t="shared" si="32"/>
        <v>12</v>
      </c>
      <c r="G359" s="4" t="str">
        <f>"27"</f>
        <v>27</v>
      </c>
      <c r="H359" s="5">
        <v>77</v>
      </c>
      <c r="I359" s="3"/>
    </row>
    <row r="360" customHeight="1" spans="1:9">
      <c r="A360" s="3" t="str">
        <f t="shared" si="30"/>
        <v>0102</v>
      </c>
      <c r="B360" s="3" t="s">
        <v>10</v>
      </c>
      <c r="C360" s="3" t="str">
        <f>"朱媛媛"</f>
        <v>朱媛媛</v>
      </c>
      <c r="D360" s="3" t="str">
        <f t="shared" si="33"/>
        <v>女</v>
      </c>
      <c r="E360" s="3" t="str">
        <f>"2507011228"</f>
        <v>2507011228</v>
      </c>
      <c r="F360" s="3" t="str">
        <f t="shared" si="32"/>
        <v>12</v>
      </c>
      <c r="G360" s="4" t="str">
        <f>"28"</f>
        <v>28</v>
      </c>
      <c r="H360" s="5">
        <v>77</v>
      </c>
      <c r="I360" s="3"/>
    </row>
    <row r="361" customHeight="1" spans="1:9">
      <c r="A361" s="3" t="str">
        <f t="shared" si="30"/>
        <v>0102</v>
      </c>
      <c r="B361" s="3" t="s">
        <v>10</v>
      </c>
      <c r="C361" s="3" t="str">
        <f>"刘苏"</f>
        <v>刘苏</v>
      </c>
      <c r="D361" s="3" t="str">
        <f t="shared" si="33"/>
        <v>女</v>
      </c>
      <c r="E361" s="3" t="str">
        <f>"2507011229"</f>
        <v>2507011229</v>
      </c>
      <c r="F361" s="3" t="str">
        <f t="shared" si="32"/>
        <v>12</v>
      </c>
      <c r="G361" s="4" t="str">
        <f>"29"</f>
        <v>29</v>
      </c>
      <c r="H361" s="5">
        <v>70</v>
      </c>
      <c r="I361" s="3"/>
    </row>
    <row r="362" customHeight="1" spans="1:9">
      <c r="A362" s="3" t="str">
        <f t="shared" si="30"/>
        <v>0102</v>
      </c>
      <c r="B362" s="3" t="s">
        <v>10</v>
      </c>
      <c r="C362" s="3" t="str">
        <f>"李梦"</f>
        <v>李梦</v>
      </c>
      <c r="D362" s="3" t="str">
        <f t="shared" si="33"/>
        <v>女</v>
      </c>
      <c r="E362" s="3" t="str">
        <f>"2507011230"</f>
        <v>2507011230</v>
      </c>
      <c r="F362" s="3" t="str">
        <f t="shared" si="32"/>
        <v>12</v>
      </c>
      <c r="G362" s="4" t="str">
        <f>"30"</f>
        <v>30</v>
      </c>
      <c r="H362" s="5">
        <v>0</v>
      </c>
      <c r="I362" s="3" t="s">
        <v>11</v>
      </c>
    </row>
    <row r="363" customHeight="1" spans="1:9">
      <c r="A363" s="3" t="str">
        <f t="shared" si="30"/>
        <v>0102</v>
      </c>
      <c r="B363" s="3" t="s">
        <v>10</v>
      </c>
      <c r="C363" s="3" t="str">
        <f>"魏莹"</f>
        <v>魏莹</v>
      </c>
      <c r="D363" s="3" t="str">
        <f t="shared" si="33"/>
        <v>女</v>
      </c>
      <c r="E363" s="3" t="str">
        <f>"2507011301"</f>
        <v>2507011301</v>
      </c>
      <c r="F363" s="3" t="str">
        <f t="shared" ref="F363:F393" si="34">"13"</f>
        <v>13</v>
      </c>
      <c r="G363" s="4" t="str">
        <f>"01"</f>
        <v>01</v>
      </c>
      <c r="H363" s="5">
        <v>76</v>
      </c>
      <c r="I363" s="3"/>
    </row>
    <row r="364" customHeight="1" spans="1:9">
      <c r="A364" s="3" t="str">
        <f t="shared" si="30"/>
        <v>0102</v>
      </c>
      <c r="B364" s="3" t="s">
        <v>10</v>
      </c>
      <c r="C364" s="3" t="str">
        <f>"王笑"</f>
        <v>王笑</v>
      </c>
      <c r="D364" s="3" t="str">
        <f t="shared" si="33"/>
        <v>女</v>
      </c>
      <c r="E364" s="3" t="str">
        <f>"2507011302"</f>
        <v>2507011302</v>
      </c>
      <c r="F364" s="3" t="str">
        <f t="shared" si="34"/>
        <v>13</v>
      </c>
      <c r="G364" s="4" t="str">
        <f>"02"</f>
        <v>02</v>
      </c>
      <c r="H364" s="5">
        <v>0</v>
      </c>
      <c r="I364" s="3" t="s">
        <v>11</v>
      </c>
    </row>
    <row r="365" customHeight="1" spans="1:9">
      <c r="A365" s="3" t="str">
        <f t="shared" si="30"/>
        <v>0102</v>
      </c>
      <c r="B365" s="3" t="s">
        <v>10</v>
      </c>
      <c r="C365" s="3" t="str">
        <f>"鲁妍贝"</f>
        <v>鲁妍贝</v>
      </c>
      <c r="D365" s="3" t="str">
        <f t="shared" si="33"/>
        <v>女</v>
      </c>
      <c r="E365" s="3" t="str">
        <f>"2507011303"</f>
        <v>2507011303</v>
      </c>
      <c r="F365" s="3" t="str">
        <f t="shared" si="34"/>
        <v>13</v>
      </c>
      <c r="G365" s="4" t="str">
        <f>"03"</f>
        <v>03</v>
      </c>
      <c r="H365" s="5">
        <v>75</v>
      </c>
      <c r="I365" s="3"/>
    </row>
    <row r="366" customHeight="1" spans="1:9">
      <c r="A366" s="3" t="str">
        <f t="shared" si="30"/>
        <v>0102</v>
      </c>
      <c r="B366" s="3" t="s">
        <v>10</v>
      </c>
      <c r="C366" s="3" t="str">
        <f>"袁月"</f>
        <v>袁月</v>
      </c>
      <c r="D366" s="3" t="str">
        <f t="shared" si="33"/>
        <v>女</v>
      </c>
      <c r="E366" s="3" t="str">
        <f>"2507011304"</f>
        <v>2507011304</v>
      </c>
      <c r="F366" s="3" t="str">
        <f t="shared" si="34"/>
        <v>13</v>
      </c>
      <c r="G366" s="4" t="str">
        <f>"04"</f>
        <v>04</v>
      </c>
      <c r="H366" s="5">
        <v>0</v>
      </c>
      <c r="I366" s="3" t="s">
        <v>11</v>
      </c>
    </row>
    <row r="367" customHeight="1" spans="1:9">
      <c r="A367" s="3" t="str">
        <f t="shared" si="30"/>
        <v>0102</v>
      </c>
      <c r="B367" s="3" t="s">
        <v>10</v>
      </c>
      <c r="C367" s="3" t="str">
        <f>"蒋辰雯"</f>
        <v>蒋辰雯</v>
      </c>
      <c r="D367" s="3" t="str">
        <f t="shared" si="33"/>
        <v>女</v>
      </c>
      <c r="E367" s="3" t="str">
        <f>"2507011305"</f>
        <v>2507011305</v>
      </c>
      <c r="F367" s="3" t="str">
        <f t="shared" si="34"/>
        <v>13</v>
      </c>
      <c r="G367" s="4" t="str">
        <f>"05"</f>
        <v>05</v>
      </c>
      <c r="H367" s="5">
        <v>0</v>
      </c>
      <c r="I367" s="3" t="s">
        <v>11</v>
      </c>
    </row>
    <row r="368" customHeight="1" spans="1:9">
      <c r="A368" s="3" t="str">
        <f t="shared" si="30"/>
        <v>0102</v>
      </c>
      <c r="B368" s="3" t="s">
        <v>10</v>
      </c>
      <c r="C368" s="3" t="str">
        <f>"王菁菁"</f>
        <v>王菁菁</v>
      </c>
      <c r="D368" s="3" t="str">
        <f t="shared" si="33"/>
        <v>女</v>
      </c>
      <c r="E368" s="3" t="str">
        <f>"2507011306"</f>
        <v>2507011306</v>
      </c>
      <c r="F368" s="3" t="str">
        <f t="shared" si="34"/>
        <v>13</v>
      </c>
      <c r="G368" s="4" t="str">
        <f>"06"</f>
        <v>06</v>
      </c>
      <c r="H368" s="5">
        <v>0</v>
      </c>
      <c r="I368" s="3" t="s">
        <v>11</v>
      </c>
    </row>
    <row r="369" customHeight="1" spans="1:9">
      <c r="A369" s="3" t="str">
        <f t="shared" si="30"/>
        <v>0102</v>
      </c>
      <c r="B369" s="3" t="s">
        <v>10</v>
      </c>
      <c r="C369" s="3" t="str">
        <f>"杨凤"</f>
        <v>杨凤</v>
      </c>
      <c r="D369" s="3" t="str">
        <f t="shared" si="33"/>
        <v>女</v>
      </c>
      <c r="E369" s="3" t="str">
        <f>"2507011307"</f>
        <v>2507011307</v>
      </c>
      <c r="F369" s="3" t="str">
        <f t="shared" si="34"/>
        <v>13</v>
      </c>
      <c r="G369" s="4" t="str">
        <f>"07"</f>
        <v>07</v>
      </c>
      <c r="H369" s="5">
        <v>0</v>
      </c>
      <c r="I369" s="3" t="s">
        <v>11</v>
      </c>
    </row>
    <row r="370" customHeight="1" spans="1:9">
      <c r="A370" s="3" t="str">
        <f t="shared" si="30"/>
        <v>0102</v>
      </c>
      <c r="B370" s="3" t="s">
        <v>10</v>
      </c>
      <c r="C370" s="3" t="str">
        <f>"董叶娟"</f>
        <v>董叶娟</v>
      </c>
      <c r="D370" s="3" t="str">
        <f t="shared" si="33"/>
        <v>女</v>
      </c>
      <c r="E370" s="3" t="str">
        <f>"2507011308"</f>
        <v>2507011308</v>
      </c>
      <c r="F370" s="3" t="str">
        <f t="shared" si="34"/>
        <v>13</v>
      </c>
      <c r="G370" s="4" t="str">
        <f>"08"</f>
        <v>08</v>
      </c>
      <c r="H370" s="5">
        <v>0</v>
      </c>
      <c r="I370" s="3" t="s">
        <v>11</v>
      </c>
    </row>
    <row r="371" customHeight="1" spans="1:9">
      <c r="A371" s="3" t="str">
        <f t="shared" si="30"/>
        <v>0102</v>
      </c>
      <c r="B371" s="3" t="s">
        <v>10</v>
      </c>
      <c r="C371" s="3" t="str">
        <f>"安孟孟"</f>
        <v>安孟孟</v>
      </c>
      <c r="D371" s="3" t="str">
        <f t="shared" si="33"/>
        <v>女</v>
      </c>
      <c r="E371" s="3" t="str">
        <f>"2507011309"</f>
        <v>2507011309</v>
      </c>
      <c r="F371" s="3" t="str">
        <f t="shared" si="34"/>
        <v>13</v>
      </c>
      <c r="G371" s="4" t="str">
        <f>"09"</f>
        <v>09</v>
      </c>
      <c r="H371" s="5">
        <v>72</v>
      </c>
      <c r="I371" s="3"/>
    </row>
    <row r="372" customHeight="1" spans="1:9">
      <c r="A372" s="3" t="str">
        <f t="shared" si="30"/>
        <v>0102</v>
      </c>
      <c r="B372" s="3" t="s">
        <v>10</v>
      </c>
      <c r="C372" s="3" t="str">
        <f>"付贝贝"</f>
        <v>付贝贝</v>
      </c>
      <c r="D372" s="3" t="str">
        <f t="shared" si="33"/>
        <v>女</v>
      </c>
      <c r="E372" s="3" t="str">
        <f>"2507011310"</f>
        <v>2507011310</v>
      </c>
      <c r="F372" s="3" t="str">
        <f t="shared" si="34"/>
        <v>13</v>
      </c>
      <c r="G372" s="4" t="str">
        <f>"10"</f>
        <v>10</v>
      </c>
      <c r="H372" s="5">
        <v>72</v>
      </c>
      <c r="I372" s="3"/>
    </row>
    <row r="373" customHeight="1" spans="1:9">
      <c r="A373" s="3" t="str">
        <f t="shared" si="30"/>
        <v>0102</v>
      </c>
      <c r="B373" s="3" t="s">
        <v>10</v>
      </c>
      <c r="C373" s="3" t="str">
        <f>"吴丽"</f>
        <v>吴丽</v>
      </c>
      <c r="D373" s="3" t="str">
        <f t="shared" si="33"/>
        <v>女</v>
      </c>
      <c r="E373" s="3" t="str">
        <f>"2507011311"</f>
        <v>2507011311</v>
      </c>
      <c r="F373" s="3" t="str">
        <f t="shared" si="34"/>
        <v>13</v>
      </c>
      <c r="G373" s="4" t="str">
        <f>"11"</f>
        <v>11</v>
      </c>
      <c r="H373" s="5">
        <v>74.5</v>
      </c>
      <c r="I373" s="3"/>
    </row>
    <row r="374" customHeight="1" spans="1:9">
      <c r="A374" s="3" t="str">
        <f t="shared" si="30"/>
        <v>0102</v>
      </c>
      <c r="B374" s="3" t="s">
        <v>10</v>
      </c>
      <c r="C374" s="3" t="str">
        <f>"范梦南"</f>
        <v>范梦南</v>
      </c>
      <c r="D374" s="3" t="str">
        <f t="shared" si="33"/>
        <v>女</v>
      </c>
      <c r="E374" s="3" t="str">
        <f>"2507011312"</f>
        <v>2507011312</v>
      </c>
      <c r="F374" s="3" t="str">
        <f t="shared" si="34"/>
        <v>13</v>
      </c>
      <c r="G374" s="4" t="str">
        <f>"12"</f>
        <v>12</v>
      </c>
      <c r="H374" s="5">
        <v>0</v>
      </c>
      <c r="I374" s="3" t="s">
        <v>11</v>
      </c>
    </row>
    <row r="375" customHeight="1" spans="1:9">
      <c r="A375" s="3" t="str">
        <f t="shared" si="30"/>
        <v>0102</v>
      </c>
      <c r="B375" s="3" t="s">
        <v>10</v>
      </c>
      <c r="C375" s="3" t="str">
        <f>"刘春"</f>
        <v>刘春</v>
      </c>
      <c r="D375" s="3" t="str">
        <f t="shared" si="33"/>
        <v>女</v>
      </c>
      <c r="E375" s="3" t="str">
        <f>"2507011313"</f>
        <v>2507011313</v>
      </c>
      <c r="F375" s="3" t="str">
        <f t="shared" si="34"/>
        <v>13</v>
      </c>
      <c r="G375" s="4" t="str">
        <f>"13"</f>
        <v>13</v>
      </c>
      <c r="H375" s="5">
        <v>75</v>
      </c>
      <c r="I375" s="3"/>
    </row>
    <row r="376" customHeight="1" spans="1:9">
      <c r="A376" s="3" t="str">
        <f t="shared" si="30"/>
        <v>0102</v>
      </c>
      <c r="B376" s="3" t="s">
        <v>10</v>
      </c>
      <c r="C376" s="3" t="str">
        <f>"张桂菡"</f>
        <v>张桂菡</v>
      </c>
      <c r="D376" s="3" t="str">
        <f t="shared" si="33"/>
        <v>女</v>
      </c>
      <c r="E376" s="3" t="str">
        <f>"2507011314"</f>
        <v>2507011314</v>
      </c>
      <c r="F376" s="3" t="str">
        <f t="shared" si="34"/>
        <v>13</v>
      </c>
      <c r="G376" s="4" t="str">
        <f>"14"</f>
        <v>14</v>
      </c>
      <c r="H376" s="5">
        <v>73</v>
      </c>
      <c r="I376" s="3"/>
    </row>
    <row r="377" customHeight="1" spans="1:9">
      <c r="A377" s="3" t="str">
        <f t="shared" si="30"/>
        <v>0102</v>
      </c>
      <c r="B377" s="3" t="s">
        <v>10</v>
      </c>
      <c r="C377" s="3" t="str">
        <f>"陈月明"</f>
        <v>陈月明</v>
      </c>
      <c r="D377" s="3" t="str">
        <f t="shared" si="33"/>
        <v>女</v>
      </c>
      <c r="E377" s="3" t="str">
        <f>"2507011315"</f>
        <v>2507011315</v>
      </c>
      <c r="F377" s="3" t="str">
        <f t="shared" si="34"/>
        <v>13</v>
      </c>
      <c r="G377" s="4" t="str">
        <f>"15"</f>
        <v>15</v>
      </c>
      <c r="H377" s="5">
        <v>79.5</v>
      </c>
      <c r="I377" s="3"/>
    </row>
    <row r="378" customHeight="1" spans="1:9">
      <c r="A378" s="3" t="str">
        <f t="shared" si="30"/>
        <v>0102</v>
      </c>
      <c r="B378" s="3" t="s">
        <v>10</v>
      </c>
      <c r="C378" s="3" t="str">
        <f>"孙梦"</f>
        <v>孙梦</v>
      </c>
      <c r="D378" s="3" t="str">
        <f t="shared" si="33"/>
        <v>女</v>
      </c>
      <c r="E378" s="3" t="str">
        <f>"2507011316"</f>
        <v>2507011316</v>
      </c>
      <c r="F378" s="3" t="str">
        <f t="shared" si="34"/>
        <v>13</v>
      </c>
      <c r="G378" s="4" t="str">
        <f>"16"</f>
        <v>16</v>
      </c>
      <c r="H378" s="5">
        <v>71</v>
      </c>
      <c r="I378" s="3"/>
    </row>
    <row r="379" customHeight="1" spans="1:9">
      <c r="A379" s="3" t="str">
        <f t="shared" si="30"/>
        <v>0102</v>
      </c>
      <c r="B379" s="3" t="s">
        <v>10</v>
      </c>
      <c r="C379" s="3" t="str">
        <f>"刘云"</f>
        <v>刘云</v>
      </c>
      <c r="D379" s="3" t="str">
        <f t="shared" si="33"/>
        <v>女</v>
      </c>
      <c r="E379" s="3" t="str">
        <f>"2507011317"</f>
        <v>2507011317</v>
      </c>
      <c r="F379" s="3" t="str">
        <f t="shared" si="34"/>
        <v>13</v>
      </c>
      <c r="G379" s="4" t="str">
        <f>"17"</f>
        <v>17</v>
      </c>
      <c r="H379" s="5">
        <v>77</v>
      </c>
      <c r="I379" s="3"/>
    </row>
    <row r="380" customHeight="1" spans="1:9">
      <c r="A380" s="3" t="str">
        <f t="shared" si="30"/>
        <v>0102</v>
      </c>
      <c r="B380" s="3" t="s">
        <v>10</v>
      </c>
      <c r="C380" s="3" t="str">
        <f>"贺晶"</f>
        <v>贺晶</v>
      </c>
      <c r="D380" s="3" t="str">
        <f t="shared" si="33"/>
        <v>女</v>
      </c>
      <c r="E380" s="3" t="str">
        <f>"2507011318"</f>
        <v>2507011318</v>
      </c>
      <c r="F380" s="3" t="str">
        <f t="shared" si="34"/>
        <v>13</v>
      </c>
      <c r="G380" s="4" t="str">
        <f>"18"</f>
        <v>18</v>
      </c>
      <c r="H380" s="5">
        <v>74.5</v>
      </c>
      <c r="I380" s="3"/>
    </row>
    <row r="381" customHeight="1" spans="1:9">
      <c r="A381" s="3" t="str">
        <f t="shared" si="30"/>
        <v>0102</v>
      </c>
      <c r="B381" s="3" t="s">
        <v>10</v>
      </c>
      <c r="C381" s="3" t="str">
        <f>"李春红"</f>
        <v>李春红</v>
      </c>
      <c r="D381" s="3" t="str">
        <f t="shared" si="33"/>
        <v>女</v>
      </c>
      <c r="E381" s="3" t="str">
        <f>"2507011319"</f>
        <v>2507011319</v>
      </c>
      <c r="F381" s="3" t="str">
        <f t="shared" si="34"/>
        <v>13</v>
      </c>
      <c r="G381" s="4" t="str">
        <f>"19"</f>
        <v>19</v>
      </c>
      <c r="H381" s="5">
        <v>74.5</v>
      </c>
      <c r="I381" s="3"/>
    </row>
    <row r="382" customHeight="1" spans="1:9">
      <c r="A382" s="3" t="str">
        <f t="shared" si="30"/>
        <v>0102</v>
      </c>
      <c r="B382" s="3" t="s">
        <v>10</v>
      </c>
      <c r="C382" s="3" t="str">
        <f>"李成晴"</f>
        <v>李成晴</v>
      </c>
      <c r="D382" s="3" t="str">
        <f t="shared" si="33"/>
        <v>女</v>
      </c>
      <c r="E382" s="3" t="str">
        <f>"2507011320"</f>
        <v>2507011320</v>
      </c>
      <c r="F382" s="3" t="str">
        <f t="shared" si="34"/>
        <v>13</v>
      </c>
      <c r="G382" s="4" t="str">
        <f>"20"</f>
        <v>20</v>
      </c>
      <c r="H382" s="5">
        <v>77.5</v>
      </c>
      <c r="I382" s="3"/>
    </row>
    <row r="383" customHeight="1" spans="1:9">
      <c r="A383" s="3" t="str">
        <f t="shared" si="30"/>
        <v>0102</v>
      </c>
      <c r="B383" s="3" t="s">
        <v>10</v>
      </c>
      <c r="C383" s="3" t="str">
        <f>"唐琦"</f>
        <v>唐琦</v>
      </c>
      <c r="D383" s="3" t="str">
        <f t="shared" si="33"/>
        <v>女</v>
      </c>
      <c r="E383" s="3" t="str">
        <f>"2507011321"</f>
        <v>2507011321</v>
      </c>
      <c r="F383" s="3" t="str">
        <f t="shared" si="34"/>
        <v>13</v>
      </c>
      <c r="G383" s="4" t="str">
        <f>"21"</f>
        <v>21</v>
      </c>
      <c r="H383" s="5">
        <v>72.5</v>
      </c>
      <c r="I383" s="3"/>
    </row>
    <row r="384" customHeight="1" spans="1:9">
      <c r="A384" s="3" t="str">
        <f t="shared" si="30"/>
        <v>0102</v>
      </c>
      <c r="B384" s="3" t="s">
        <v>10</v>
      </c>
      <c r="C384" s="3" t="str">
        <f>"侯睿"</f>
        <v>侯睿</v>
      </c>
      <c r="D384" s="3" t="str">
        <f t="shared" si="33"/>
        <v>女</v>
      </c>
      <c r="E384" s="3" t="str">
        <f>"2507011322"</f>
        <v>2507011322</v>
      </c>
      <c r="F384" s="3" t="str">
        <f t="shared" si="34"/>
        <v>13</v>
      </c>
      <c r="G384" s="4" t="str">
        <f>"22"</f>
        <v>22</v>
      </c>
      <c r="H384" s="5">
        <v>77.5</v>
      </c>
      <c r="I384" s="3"/>
    </row>
    <row r="385" customHeight="1" spans="1:9">
      <c r="A385" s="3" t="str">
        <f t="shared" si="30"/>
        <v>0102</v>
      </c>
      <c r="B385" s="3" t="s">
        <v>10</v>
      </c>
      <c r="C385" s="3" t="str">
        <f>"陈玲娣"</f>
        <v>陈玲娣</v>
      </c>
      <c r="D385" s="3" t="str">
        <f t="shared" si="33"/>
        <v>女</v>
      </c>
      <c r="E385" s="3" t="str">
        <f>"2507011323"</f>
        <v>2507011323</v>
      </c>
      <c r="F385" s="3" t="str">
        <f t="shared" si="34"/>
        <v>13</v>
      </c>
      <c r="G385" s="4" t="str">
        <f>"23"</f>
        <v>23</v>
      </c>
      <c r="H385" s="5">
        <v>76</v>
      </c>
      <c r="I385" s="3"/>
    </row>
    <row r="386" customHeight="1" spans="1:9">
      <c r="A386" s="3" t="str">
        <f t="shared" si="30"/>
        <v>0102</v>
      </c>
      <c r="B386" s="3" t="s">
        <v>10</v>
      </c>
      <c r="C386" s="3" t="str">
        <f>"满誉"</f>
        <v>满誉</v>
      </c>
      <c r="D386" s="3" t="str">
        <f>"男"</f>
        <v>男</v>
      </c>
      <c r="E386" s="3" t="str">
        <f>"2507011324"</f>
        <v>2507011324</v>
      </c>
      <c r="F386" s="3" t="str">
        <f t="shared" si="34"/>
        <v>13</v>
      </c>
      <c r="G386" s="4" t="str">
        <f>"24"</f>
        <v>24</v>
      </c>
      <c r="H386" s="5">
        <v>0</v>
      </c>
      <c r="I386" s="3" t="s">
        <v>11</v>
      </c>
    </row>
    <row r="387" customHeight="1" spans="1:9">
      <c r="A387" s="3" t="str">
        <f t="shared" ref="A387:A393" si="35">"0102"</f>
        <v>0102</v>
      </c>
      <c r="B387" s="3" t="s">
        <v>10</v>
      </c>
      <c r="C387" s="3" t="str">
        <f>"鲍秋静"</f>
        <v>鲍秋静</v>
      </c>
      <c r="D387" s="3" t="str">
        <f t="shared" ref="D387:D393" si="36">"女"</f>
        <v>女</v>
      </c>
      <c r="E387" s="3" t="str">
        <f>"2507011325"</f>
        <v>2507011325</v>
      </c>
      <c r="F387" s="3" t="str">
        <f t="shared" si="34"/>
        <v>13</v>
      </c>
      <c r="G387" s="4" t="str">
        <f>"25"</f>
        <v>25</v>
      </c>
      <c r="H387" s="5">
        <v>0</v>
      </c>
      <c r="I387" s="3" t="s">
        <v>11</v>
      </c>
    </row>
    <row r="388" customHeight="1" spans="1:9">
      <c r="A388" s="3" t="str">
        <f t="shared" si="35"/>
        <v>0102</v>
      </c>
      <c r="B388" s="3" t="s">
        <v>10</v>
      </c>
      <c r="C388" s="3" t="str">
        <f>"韩雪"</f>
        <v>韩雪</v>
      </c>
      <c r="D388" s="3" t="str">
        <f t="shared" si="36"/>
        <v>女</v>
      </c>
      <c r="E388" s="3" t="str">
        <f>"2507011326"</f>
        <v>2507011326</v>
      </c>
      <c r="F388" s="3" t="str">
        <f t="shared" si="34"/>
        <v>13</v>
      </c>
      <c r="G388" s="4" t="str">
        <f>"26"</f>
        <v>26</v>
      </c>
      <c r="H388" s="5">
        <v>0</v>
      </c>
      <c r="I388" s="3" t="s">
        <v>11</v>
      </c>
    </row>
    <row r="389" customHeight="1" spans="1:9">
      <c r="A389" s="3" t="str">
        <f t="shared" si="35"/>
        <v>0102</v>
      </c>
      <c r="B389" s="3" t="s">
        <v>10</v>
      </c>
      <c r="C389" s="3" t="str">
        <f>"欧阳其雪"</f>
        <v>欧阳其雪</v>
      </c>
      <c r="D389" s="3" t="str">
        <f t="shared" si="36"/>
        <v>女</v>
      </c>
      <c r="E389" s="3" t="str">
        <f>"2507011327"</f>
        <v>2507011327</v>
      </c>
      <c r="F389" s="3" t="str">
        <f t="shared" si="34"/>
        <v>13</v>
      </c>
      <c r="G389" s="4" t="str">
        <f>"27"</f>
        <v>27</v>
      </c>
      <c r="H389" s="5">
        <v>76</v>
      </c>
      <c r="I389" s="3"/>
    </row>
    <row r="390" customHeight="1" spans="1:9">
      <c r="A390" s="3" t="str">
        <f t="shared" si="35"/>
        <v>0102</v>
      </c>
      <c r="B390" s="3" t="s">
        <v>10</v>
      </c>
      <c r="C390" s="3" t="str">
        <f>"李婕"</f>
        <v>李婕</v>
      </c>
      <c r="D390" s="3" t="str">
        <f t="shared" si="36"/>
        <v>女</v>
      </c>
      <c r="E390" s="3" t="str">
        <f>"2507011328"</f>
        <v>2507011328</v>
      </c>
      <c r="F390" s="3" t="str">
        <f t="shared" si="34"/>
        <v>13</v>
      </c>
      <c r="G390" s="4" t="str">
        <f>"28"</f>
        <v>28</v>
      </c>
      <c r="H390" s="5">
        <v>66</v>
      </c>
      <c r="I390" s="3"/>
    </row>
    <row r="391" customHeight="1" spans="1:9">
      <c r="A391" s="3" t="str">
        <f t="shared" si="35"/>
        <v>0102</v>
      </c>
      <c r="B391" s="3" t="s">
        <v>10</v>
      </c>
      <c r="C391" s="3" t="str">
        <f>"张亚"</f>
        <v>张亚</v>
      </c>
      <c r="D391" s="3" t="str">
        <f t="shared" si="36"/>
        <v>女</v>
      </c>
      <c r="E391" s="3" t="str">
        <f>"2507011329"</f>
        <v>2507011329</v>
      </c>
      <c r="F391" s="3" t="str">
        <f t="shared" si="34"/>
        <v>13</v>
      </c>
      <c r="G391" s="4" t="str">
        <f>"29"</f>
        <v>29</v>
      </c>
      <c r="H391" s="5">
        <v>0</v>
      </c>
      <c r="I391" s="3" t="s">
        <v>11</v>
      </c>
    </row>
    <row r="392" customHeight="1" spans="1:9">
      <c r="A392" s="3" t="str">
        <f t="shared" si="35"/>
        <v>0102</v>
      </c>
      <c r="B392" s="3" t="s">
        <v>10</v>
      </c>
      <c r="C392" s="3" t="str">
        <f>"吴晗"</f>
        <v>吴晗</v>
      </c>
      <c r="D392" s="3" t="str">
        <f t="shared" si="36"/>
        <v>女</v>
      </c>
      <c r="E392" s="3" t="str">
        <f>"2507011330"</f>
        <v>2507011330</v>
      </c>
      <c r="F392" s="3" t="str">
        <f t="shared" si="34"/>
        <v>13</v>
      </c>
      <c r="G392" s="4" t="str">
        <f>"30"</f>
        <v>30</v>
      </c>
      <c r="H392" s="5">
        <v>0</v>
      </c>
      <c r="I392" s="3" t="s">
        <v>11</v>
      </c>
    </row>
    <row r="393" customHeight="1" spans="1:9">
      <c r="A393" s="3" t="str">
        <f t="shared" si="35"/>
        <v>0102</v>
      </c>
      <c r="B393" s="3" t="s">
        <v>10</v>
      </c>
      <c r="C393" s="3" t="str">
        <f>"吕亚楠"</f>
        <v>吕亚楠</v>
      </c>
      <c r="D393" s="3" t="str">
        <f t="shared" si="36"/>
        <v>女</v>
      </c>
      <c r="E393" s="3" t="str">
        <f>"2507011331"</f>
        <v>2507011331</v>
      </c>
      <c r="F393" s="3" t="str">
        <f t="shared" si="34"/>
        <v>13</v>
      </c>
      <c r="G393" s="4" t="str">
        <f>"31"</f>
        <v>31</v>
      </c>
      <c r="H393" s="5">
        <v>80.5</v>
      </c>
      <c r="I393" s="3"/>
    </row>
    <row r="394" customHeight="1" spans="1:9">
      <c r="A394" s="3" t="str">
        <f t="shared" ref="A394:A449" si="37">"0118"</f>
        <v>0118</v>
      </c>
      <c r="B394" s="3" t="s">
        <v>12</v>
      </c>
      <c r="C394" s="3" t="str">
        <f>"王宝东"</f>
        <v>王宝东</v>
      </c>
      <c r="D394" s="3" t="str">
        <f>"男"</f>
        <v>男</v>
      </c>
      <c r="E394" s="3" t="str">
        <f>"2507011501"</f>
        <v>2507011501</v>
      </c>
      <c r="F394" s="3" t="str">
        <f t="shared" ref="F394:F423" si="38">"15"</f>
        <v>15</v>
      </c>
      <c r="G394" s="4" t="str">
        <f>"01"</f>
        <v>01</v>
      </c>
      <c r="H394" s="5">
        <v>0</v>
      </c>
      <c r="I394" s="3" t="s">
        <v>11</v>
      </c>
    </row>
    <row r="395" customHeight="1" spans="1:9">
      <c r="A395" s="3" t="str">
        <f t="shared" si="37"/>
        <v>0118</v>
      </c>
      <c r="B395" s="3" t="s">
        <v>12</v>
      </c>
      <c r="C395" s="3" t="str">
        <f>"高郡阳"</f>
        <v>高郡阳</v>
      </c>
      <c r="D395" s="3" t="str">
        <f>"女"</f>
        <v>女</v>
      </c>
      <c r="E395" s="3" t="str">
        <f>"2507011502"</f>
        <v>2507011502</v>
      </c>
      <c r="F395" s="3" t="str">
        <f t="shared" si="38"/>
        <v>15</v>
      </c>
      <c r="G395" s="4" t="str">
        <f>"02"</f>
        <v>02</v>
      </c>
      <c r="H395" s="5">
        <v>66.5</v>
      </c>
      <c r="I395" s="3"/>
    </row>
    <row r="396" customHeight="1" spans="1:9">
      <c r="A396" s="3" t="str">
        <f t="shared" si="37"/>
        <v>0118</v>
      </c>
      <c r="B396" s="3" t="s">
        <v>12</v>
      </c>
      <c r="C396" s="3" t="str">
        <f>"黄峨"</f>
        <v>黄峨</v>
      </c>
      <c r="D396" s="3" t="str">
        <f>"女"</f>
        <v>女</v>
      </c>
      <c r="E396" s="3" t="str">
        <f>"2507011503"</f>
        <v>2507011503</v>
      </c>
      <c r="F396" s="3" t="str">
        <f t="shared" si="38"/>
        <v>15</v>
      </c>
      <c r="G396" s="4" t="str">
        <f>"03"</f>
        <v>03</v>
      </c>
      <c r="H396" s="5">
        <v>81.5</v>
      </c>
      <c r="I396" s="3"/>
    </row>
    <row r="397" customHeight="1" spans="1:9">
      <c r="A397" s="3" t="str">
        <f t="shared" si="37"/>
        <v>0118</v>
      </c>
      <c r="B397" s="3" t="s">
        <v>12</v>
      </c>
      <c r="C397" s="3" t="str">
        <f>"王亚迪"</f>
        <v>王亚迪</v>
      </c>
      <c r="D397" s="3" t="str">
        <f>"女"</f>
        <v>女</v>
      </c>
      <c r="E397" s="3" t="str">
        <f>"2507011504"</f>
        <v>2507011504</v>
      </c>
      <c r="F397" s="3" t="str">
        <f t="shared" si="38"/>
        <v>15</v>
      </c>
      <c r="G397" s="4" t="str">
        <f>"04"</f>
        <v>04</v>
      </c>
      <c r="H397" s="5">
        <v>0</v>
      </c>
      <c r="I397" s="3" t="s">
        <v>11</v>
      </c>
    </row>
    <row r="398" customHeight="1" spans="1:9">
      <c r="A398" s="3" t="str">
        <f t="shared" si="37"/>
        <v>0118</v>
      </c>
      <c r="B398" s="3" t="s">
        <v>12</v>
      </c>
      <c r="C398" s="3" t="str">
        <f>"李青泉"</f>
        <v>李青泉</v>
      </c>
      <c r="D398" s="3" t="str">
        <f>"男"</f>
        <v>男</v>
      </c>
      <c r="E398" s="3" t="str">
        <f>"2507011505"</f>
        <v>2507011505</v>
      </c>
      <c r="F398" s="3" t="str">
        <f t="shared" si="38"/>
        <v>15</v>
      </c>
      <c r="G398" s="4" t="str">
        <f>"05"</f>
        <v>05</v>
      </c>
      <c r="H398" s="5">
        <v>0</v>
      </c>
      <c r="I398" s="3" t="s">
        <v>11</v>
      </c>
    </row>
    <row r="399" customHeight="1" spans="1:9">
      <c r="A399" s="3" t="str">
        <f t="shared" si="37"/>
        <v>0118</v>
      </c>
      <c r="B399" s="3" t="s">
        <v>12</v>
      </c>
      <c r="C399" s="3" t="str">
        <f>"邵勤"</f>
        <v>邵勤</v>
      </c>
      <c r="D399" s="3" t="str">
        <f t="shared" ref="D399:D417" si="39">"女"</f>
        <v>女</v>
      </c>
      <c r="E399" s="3" t="str">
        <f>"2507011506"</f>
        <v>2507011506</v>
      </c>
      <c r="F399" s="3" t="str">
        <f t="shared" si="38"/>
        <v>15</v>
      </c>
      <c r="G399" s="4" t="str">
        <f>"06"</f>
        <v>06</v>
      </c>
      <c r="H399" s="5">
        <v>66.5</v>
      </c>
      <c r="I399" s="3"/>
    </row>
    <row r="400" customHeight="1" spans="1:9">
      <c r="A400" s="3" t="str">
        <f t="shared" si="37"/>
        <v>0118</v>
      </c>
      <c r="B400" s="3" t="s">
        <v>12</v>
      </c>
      <c r="C400" s="3" t="str">
        <f>"安秋"</f>
        <v>安秋</v>
      </c>
      <c r="D400" s="3" t="str">
        <f t="shared" si="39"/>
        <v>女</v>
      </c>
      <c r="E400" s="3" t="str">
        <f>"2507011507"</f>
        <v>2507011507</v>
      </c>
      <c r="F400" s="3" t="str">
        <f t="shared" si="38"/>
        <v>15</v>
      </c>
      <c r="G400" s="4" t="str">
        <f>"07"</f>
        <v>07</v>
      </c>
      <c r="H400" s="5">
        <v>65</v>
      </c>
      <c r="I400" s="3"/>
    </row>
    <row r="401" customHeight="1" spans="1:9">
      <c r="A401" s="3" t="str">
        <f t="shared" si="37"/>
        <v>0118</v>
      </c>
      <c r="B401" s="3" t="s">
        <v>12</v>
      </c>
      <c r="C401" s="3" t="str">
        <f>"朱寒蕊"</f>
        <v>朱寒蕊</v>
      </c>
      <c r="D401" s="3" t="str">
        <f t="shared" si="39"/>
        <v>女</v>
      </c>
      <c r="E401" s="3" t="str">
        <f>"2507011508"</f>
        <v>2507011508</v>
      </c>
      <c r="F401" s="3" t="str">
        <f t="shared" si="38"/>
        <v>15</v>
      </c>
      <c r="G401" s="4" t="str">
        <f>"08"</f>
        <v>08</v>
      </c>
      <c r="H401" s="5">
        <v>76</v>
      </c>
      <c r="I401" s="3"/>
    </row>
    <row r="402" customHeight="1" spans="1:9">
      <c r="A402" s="3" t="str">
        <f t="shared" si="37"/>
        <v>0118</v>
      </c>
      <c r="B402" s="3" t="s">
        <v>12</v>
      </c>
      <c r="C402" s="3" t="str">
        <f>"朱梦媛"</f>
        <v>朱梦媛</v>
      </c>
      <c r="D402" s="3" t="str">
        <f t="shared" si="39"/>
        <v>女</v>
      </c>
      <c r="E402" s="3" t="str">
        <f>"2507011509"</f>
        <v>2507011509</v>
      </c>
      <c r="F402" s="3" t="str">
        <f t="shared" si="38"/>
        <v>15</v>
      </c>
      <c r="G402" s="4" t="str">
        <f>"09"</f>
        <v>09</v>
      </c>
      <c r="H402" s="5">
        <v>70</v>
      </c>
      <c r="I402" s="3"/>
    </row>
    <row r="403" customHeight="1" spans="1:9">
      <c r="A403" s="3" t="str">
        <f t="shared" si="37"/>
        <v>0118</v>
      </c>
      <c r="B403" s="3" t="s">
        <v>12</v>
      </c>
      <c r="C403" s="3" t="str">
        <f>"路晶琛"</f>
        <v>路晶琛</v>
      </c>
      <c r="D403" s="3" t="str">
        <f t="shared" si="39"/>
        <v>女</v>
      </c>
      <c r="E403" s="3" t="str">
        <f>"2507011510"</f>
        <v>2507011510</v>
      </c>
      <c r="F403" s="3" t="str">
        <f t="shared" si="38"/>
        <v>15</v>
      </c>
      <c r="G403" s="4" t="str">
        <f>"10"</f>
        <v>10</v>
      </c>
      <c r="H403" s="5">
        <v>0</v>
      </c>
      <c r="I403" s="3" t="s">
        <v>11</v>
      </c>
    </row>
    <row r="404" customHeight="1" spans="1:9">
      <c r="A404" s="3" t="str">
        <f t="shared" si="37"/>
        <v>0118</v>
      </c>
      <c r="B404" s="3" t="s">
        <v>12</v>
      </c>
      <c r="C404" s="3" t="str">
        <f>"张曦文"</f>
        <v>张曦文</v>
      </c>
      <c r="D404" s="3" t="str">
        <f t="shared" si="39"/>
        <v>女</v>
      </c>
      <c r="E404" s="3" t="str">
        <f>"2507011511"</f>
        <v>2507011511</v>
      </c>
      <c r="F404" s="3" t="str">
        <f t="shared" si="38"/>
        <v>15</v>
      </c>
      <c r="G404" s="4" t="str">
        <f>"11"</f>
        <v>11</v>
      </c>
      <c r="H404" s="5">
        <v>79</v>
      </c>
      <c r="I404" s="3"/>
    </row>
    <row r="405" customHeight="1" spans="1:9">
      <c r="A405" s="3" t="str">
        <f t="shared" si="37"/>
        <v>0118</v>
      </c>
      <c r="B405" s="3" t="s">
        <v>12</v>
      </c>
      <c r="C405" s="3" t="str">
        <f>"杨雨晴"</f>
        <v>杨雨晴</v>
      </c>
      <c r="D405" s="3" t="str">
        <f t="shared" si="39"/>
        <v>女</v>
      </c>
      <c r="E405" s="3" t="str">
        <f>"2507011512"</f>
        <v>2507011512</v>
      </c>
      <c r="F405" s="3" t="str">
        <f t="shared" si="38"/>
        <v>15</v>
      </c>
      <c r="G405" s="4" t="str">
        <f>"12"</f>
        <v>12</v>
      </c>
      <c r="H405" s="5">
        <v>76.5</v>
      </c>
      <c r="I405" s="3"/>
    </row>
    <row r="406" customHeight="1" spans="1:9">
      <c r="A406" s="3" t="str">
        <f t="shared" si="37"/>
        <v>0118</v>
      </c>
      <c r="B406" s="3" t="s">
        <v>12</v>
      </c>
      <c r="C406" s="3" t="str">
        <f>"李君君"</f>
        <v>李君君</v>
      </c>
      <c r="D406" s="3" t="str">
        <f t="shared" si="39"/>
        <v>女</v>
      </c>
      <c r="E406" s="3" t="str">
        <f>"2507011513"</f>
        <v>2507011513</v>
      </c>
      <c r="F406" s="3" t="str">
        <f t="shared" si="38"/>
        <v>15</v>
      </c>
      <c r="G406" s="4" t="str">
        <f>"13"</f>
        <v>13</v>
      </c>
      <c r="H406" s="5">
        <v>69</v>
      </c>
      <c r="I406" s="3"/>
    </row>
    <row r="407" customHeight="1" spans="1:9">
      <c r="A407" s="3" t="str">
        <f t="shared" si="37"/>
        <v>0118</v>
      </c>
      <c r="B407" s="3" t="s">
        <v>12</v>
      </c>
      <c r="C407" s="3" t="str">
        <f>"查丽婷"</f>
        <v>查丽婷</v>
      </c>
      <c r="D407" s="3" t="str">
        <f t="shared" si="39"/>
        <v>女</v>
      </c>
      <c r="E407" s="3" t="str">
        <f>"2507011514"</f>
        <v>2507011514</v>
      </c>
      <c r="F407" s="3" t="str">
        <f t="shared" si="38"/>
        <v>15</v>
      </c>
      <c r="G407" s="4" t="str">
        <f>"14"</f>
        <v>14</v>
      </c>
      <c r="H407" s="5">
        <v>0</v>
      </c>
      <c r="I407" s="3" t="s">
        <v>11</v>
      </c>
    </row>
    <row r="408" customHeight="1" spans="1:9">
      <c r="A408" s="3" t="str">
        <f t="shared" si="37"/>
        <v>0118</v>
      </c>
      <c r="B408" s="3" t="s">
        <v>12</v>
      </c>
      <c r="C408" s="3" t="str">
        <f>"潘婷"</f>
        <v>潘婷</v>
      </c>
      <c r="D408" s="3" t="str">
        <f t="shared" si="39"/>
        <v>女</v>
      </c>
      <c r="E408" s="3" t="str">
        <f>"2507011515"</f>
        <v>2507011515</v>
      </c>
      <c r="F408" s="3" t="str">
        <f t="shared" si="38"/>
        <v>15</v>
      </c>
      <c r="G408" s="4" t="str">
        <f>"15"</f>
        <v>15</v>
      </c>
      <c r="H408" s="5">
        <v>0</v>
      </c>
      <c r="I408" s="3" t="s">
        <v>11</v>
      </c>
    </row>
    <row r="409" customHeight="1" spans="1:9">
      <c r="A409" s="3" t="str">
        <f t="shared" si="37"/>
        <v>0118</v>
      </c>
      <c r="B409" s="3" t="s">
        <v>12</v>
      </c>
      <c r="C409" s="3" t="str">
        <f>"刘擎"</f>
        <v>刘擎</v>
      </c>
      <c r="D409" s="3" t="str">
        <f t="shared" si="39"/>
        <v>女</v>
      </c>
      <c r="E409" s="3" t="str">
        <f>"2507011516"</f>
        <v>2507011516</v>
      </c>
      <c r="F409" s="3" t="str">
        <f t="shared" si="38"/>
        <v>15</v>
      </c>
      <c r="G409" s="4" t="str">
        <f>"16"</f>
        <v>16</v>
      </c>
      <c r="H409" s="5">
        <v>78</v>
      </c>
      <c r="I409" s="3"/>
    </row>
    <row r="410" customHeight="1" spans="1:9">
      <c r="A410" s="3" t="str">
        <f t="shared" si="37"/>
        <v>0118</v>
      </c>
      <c r="B410" s="3" t="s">
        <v>12</v>
      </c>
      <c r="C410" s="3" t="str">
        <f>"孟露"</f>
        <v>孟露</v>
      </c>
      <c r="D410" s="3" t="str">
        <f t="shared" si="39"/>
        <v>女</v>
      </c>
      <c r="E410" s="3" t="str">
        <f>"2507011517"</f>
        <v>2507011517</v>
      </c>
      <c r="F410" s="3" t="str">
        <f t="shared" si="38"/>
        <v>15</v>
      </c>
      <c r="G410" s="4" t="str">
        <f>"17"</f>
        <v>17</v>
      </c>
      <c r="H410" s="5">
        <v>88.5</v>
      </c>
      <c r="I410" s="3"/>
    </row>
    <row r="411" customHeight="1" spans="1:9">
      <c r="A411" s="3" t="str">
        <f t="shared" si="37"/>
        <v>0118</v>
      </c>
      <c r="B411" s="3" t="s">
        <v>12</v>
      </c>
      <c r="C411" s="3" t="str">
        <f>"万雪晴"</f>
        <v>万雪晴</v>
      </c>
      <c r="D411" s="3" t="str">
        <f t="shared" si="39"/>
        <v>女</v>
      </c>
      <c r="E411" s="3" t="str">
        <f>"2507011518"</f>
        <v>2507011518</v>
      </c>
      <c r="F411" s="3" t="str">
        <f t="shared" si="38"/>
        <v>15</v>
      </c>
      <c r="G411" s="4" t="str">
        <f>"18"</f>
        <v>18</v>
      </c>
      <c r="H411" s="5">
        <v>76</v>
      </c>
      <c r="I411" s="3"/>
    </row>
    <row r="412" customHeight="1" spans="1:9">
      <c r="A412" s="3" t="str">
        <f t="shared" si="37"/>
        <v>0118</v>
      </c>
      <c r="B412" s="3" t="s">
        <v>12</v>
      </c>
      <c r="C412" s="3" t="str">
        <f>"赵雨菲"</f>
        <v>赵雨菲</v>
      </c>
      <c r="D412" s="3" t="str">
        <f t="shared" si="39"/>
        <v>女</v>
      </c>
      <c r="E412" s="3" t="str">
        <f>"2507011519"</f>
        <v>2507011519</v>
      </c>
      <c r="F412" s="3" t="str">
        <f t="shared" si="38"/>
        <v>15</v>
      </c>
      <c r="G412" s="4" t="str">
        <f>"19"</f>
        <v>19</v>
      </c>
      <c r="H412" s="5">
        <v>58.5</v>
      </c>
      <c r="I412" s="3"/>
    </row>
    <row r="413" customHeight="1" spans="1:9">
      <c r="A413" s="3" t="str">
        <f t="shared" si="37"/>
        <v>0118</v>
      </c>
      <c r="B413" s="3" t="s">
        <v>12</v>
      </c>
      <c r="C413" s="3" t="str">
        <f>"徐欣"</f>
        <v>徐欣</v>
      </c>
      <c r="D413" s="3" t="str">
        <f t="shared" si="39"/>
        <v>女</v>
      </c>
      <c r="E413" s="3" t="str">
        <f>"2507011520"</f>
        <v>2507011520</v>
      </c>
      <c r="F413" s="3" t="str">
        <f t="shared" si="38"/>
        <v>15</v>
      </c>
      <c r="G413" s="4" t="str">
        <f>"20"</f>
        <v>20</v>
      </c>
      <c r="H413" s="5">
        <v>69</v>
      </c>
      <c r="I413" s="3"/>
    </row>
    <row r="414" customHeight="1" spans="1:9">
      <c r="A414" s="3" t="str">
        <f t="shared" si="37"/>
        <v>0118</v>
      </c>
      <c r="B414" s="3" t="s">
        <v>12</v>
      </c>
      <c r="C414" s="3" t="str">
        <f>"黄星"</f>
        <v>黄星</v>
      </c>
      <c r="D414" s="3" t="str">
        <f t="shared" si="39"/>
        <v>女</v>
      </c>
      <c r="E414" s="3" t="str">
        <f>"2507011521"</f>
        <v>2507011521</v>
      </c>
      <c r="F414" s="3" t="str">
        <f t="shared" si="38"/>
        <v>15</v>
      </c>
      <c r="G414" s="4" t="str">
        <f>"21"</f>
        <v>21</v>
      </c>
      <c r="H414" s="5">
        <v>80.5</v>
      </c>
      <c r="I414" s="3"/>
    </row>
    <row r="415" customHeight="1" spans="1:9">
      <c r="A415" s="3" t="str">
        <f t="shared" si="37"/>
        <v>0118</v>
      </c>
      <c r="B415" s="3" t="s">
        <v>12</v>
      </c>
      <c r="C415" s="3" t="str">
        <f>"周明洁"</f>
        <v>周明洁</v>
      </c>
      <c r="D415" s="3" t="str">
        <f t="shared" si="39"/>
        <v>女</v>
      </c>
      <c r="E415" s="3" t="str">
        <f>"2507011522"</f>
        <v>2507011522</v>
      </c>
      <c r="F415" s="3" t="str">
        <f t="shared" si="38"/>
        <v>15</v>
      </c>
      <c r="G415" s="4" t="str">
        <f>"22"</f>
        <v>22</v>
      </c>
      <c r="H415" s="5">
        <v>0</v>
      </c>
      <c r="I415" s="3" t="s">
        <v>11</v>
      </c>
    </row>
    <row r="416" customHeight="1" spans="1:9">
      <c r="A416" s="3" t="str">
        <f t="shared" si="37"/>
        <v>0118</v>
      </c>
      <c r="B416" s="3" t="s">
        <v>12</v>
      </c>
      <c r="C416" s="3" t="str">
        <f>"金婉"</f>
        <v>金婉</v>
      </c>
      <c r="D416" s="3" t="str">
        <f t="shared" si="39"/>
        <v>女</v>
      </c>
      <c r="E416" s="3" t="str">
        <f>"2507011523"</f>
        <v>2507011523</v>
      </c>
      <c r="F416" s="3" t="str">
        <f t="shared" si="38"/>
        <v>15</v>
      </c>
      <c r="G416" s="4" t="str">
        <f>"23"</f>
        <v>23</v>
      </c>
      <c r="H416" s="5">
        <v>72</v>
      </c>
      <c r="I416" s="3"/>
    </row>
    <row r="417" customHeight="1" spans="1:9">
      <c r="A417" s="3" t="str">
        <f t="shared" si="37"/>
        <v>0118</v>
      </c>
      <c r="B417" s="3" t="s">
        <v>12</v>
      </c>
      <c r="C417" s="3" t="str">
        <f>"魏雨昕"</f>
        <v>魏雨昕</v>
      </c>
      <c r="D417" s="3" t="str">
        <f t="shared" si="39"/>
        <v>女</v>
      </c>
      <c r="E417" s="3" t="str">
        <f>"2507011524"</f>
        <v>2507011524</v>
      </c>
      <c r="F417" s="3" t="str">
        <f t="shared" si="38"/>
        <v>15</v>
      </c>
      <c r="G417" s="4" t="str">
        <f>"24"</f>
        <v>24</v>
      </c>
      <c r="H417" s="5">
        <v>64</v>
      </c>
      <c r="I417" s="3"/>
    </row>
    <row r="418" customHeight="1" spans="1:9">
      <c r="A418" s="3" t="str">
        <f t="shared" si="37"/>
        <v>0118</v>
      </c>
      <c r="B418" s="3" t="s">
        <v>12</v>
      </c>
      <c r="C418" s="3" t="str">
        <f>"李文祥"</f>
        <v>李文祥</v>
      </c>
      <c r="D418" s="3" t="str">
        <f>"男"</f>
        <v>男</v>
      </c>
      <c r="E418" s="3" t="str">
        <f>"2507011525"</f>
        <v>2507011525</v>
      </c>
      <c r="F418" s="3" t="str">
        <f t="shared" si="38"/>
        <v>15</v>
      </c>
      <c r="G418" s="4" t="str">
        <f>"25"</f>
        <v>25</v>
      </c>
      <c r="H418" s="5">
        <v>0</v>
      </c>
      <c r="I418" s="3" t="s">
        <v>11</v>
      </c>
    </row>
    <row r="419" customHeight="1" spans="1:9">
      <c r="A419" s="3" t="str">
        <f t="shared" si="37"/>
        <v>0118</v>
      </c>
      <c r="B419" s="3" t="s">
        <v>12</v>
      </c>
      <c r="C419" s="3" t="str">
        <f>"陈鑫茹"</f>
        <v>陈鑫茹</v>
      </c>
      <c r="D419" s="3" t="str">
        <f t="shared" ref="D419:D426" si="40">"女"</f>
        <v>女</v>
      </c>
      <c r="E419" s="3" t="str">
        <f>"2507011526"</f>
        <v>2507011526</v>
      </c>
      <c r="F419" s="3" t="str">
        <f t="shared" si="38"/>
        <v>15</v>
      </c>
      <c r="G419" s="4" t="str">
        <f>"26"</f>
        <v>26</v>
      </c>
      <c r="H419" s="5">
        <v>79</v>
      </c>
      <c r="I419" s="3"/>
    </row>
    <row r="420" customHeight="1" spans="1:9">
      <c r="A420" s="3" t="str">
        <f t="shared" si="37"/>
        <v>0118</v>
      </c>
      <c r="B420" s="3" t="s">
        <v>12</v>
      </c>
      <c r="C420" s="3" t="str">
        <f>"赵书婉"</f>
        <v>赵书婉</v>
      </c>
      <c r="D420" s="3" t="str">
        <f t="shared" si="40"/>
        <v>女</v>
      </c>
      <c r="E420" s="3" t="str">
        <f>"2507011527"</f>
        <v>2507011527</v>
      </c>
      <c r="F420" s="3" t="str">
        <f t="shared" si="38"/>
        <v>15</v>
      </c>
      <c r="G420" s="4" t="str">
        <f>"27"</f>
        <v>27</v>
      </c>
      <c r="H420" s="5">
        <v>72.5</v>
      </c>
      <c r="I420" s="3"/>
    </row>
    <row r="421" customHeight="1" spans="1:9">
      <c r="A421" s="3" t="str">
        <f t="shared" si="37"/>
        <v>0118</v>
      </c>
      <c r="B421" s="3" t="s">
        <v>12</v>
      </c>
      <c r="C421" s="3" t="str">
        <f>"杨芬芬"</f>
        <v>杨芬芬</v>
      </c>
      <c r="D421" s="3" t="str">
        <f t="shared" si="40"/>
        <v>女</v>
      </c>
      <c r="E421" s="3" t="str">
        <f>"2507011528"</f>
        <v>2507011528</v>
      </c>
      <c r="F421" s="3" t="str">
        <f t="shared" si="38"/>
        <v>15</v>
      </c>
      <c r="G421" s="4" t="str">
        <f>"28"</f>
        <v>28</v>
      </c>
      <c r="H421" s="5">
        <v>77</v>
      </c>
      <c r="I421" s="3"/>
    </row>
    <row r="422" customHeight="1" spans="1:9">
      <c r="A422" s="3" t="str">
        <f t="shared" si="37"/>
        <v>0118</v>
      </c>
      <c r="B422" s="3" t="s">
        <v>12</v>
      </c>
      <c r="C422" s="3" t="str">
        <f>"宗丽"</f>
        <v>宗丽</v>
      </c>
      <c r="D422" s="3" t="str">
        <f t="shared" si="40"/>
        <v>女</v>
      </c>
      <c r="E422" s="3" t="str">
        <f>"2507011529"</f>
        <v>2507011529</v>
      </c>
      <c r="F422" s="3" t="str">
        <f t="shared" si="38"/>
        <v>15</v>
      </c>
      <c r="G422" s="4" t="str">
        <f>"29"</f>
        <v>29</v>
      </c>
      <c r="H422" s="5">
        <v>0</v>
      </c>
      <c r="I422" s="3" t="s">
        <v>11</v>
      </c>
    </row>
    <row r="423" customHeight="1" spans="1:9">
      <c r="A423" s="3" t="str">
        <f t="shared" si="37"/>
        <v>0118</v>
      </c>
      <c r="B423" s="3" t="s">
        <v>12</v>
      </c>
      <c r="C423" s="3" t="str">
        <f>"赵畅"</f>
        <v>赵畅</v>
      </c>
      <c r="D423" s="3" t="str">
        <f t="shared" si="40"/>
        <v>女</v>
      </c>
      <c r="E423" s="3" t="str">
        <f>"2507011530"</f>
        <v>2507011530</v>
      </c>
      <c r="F423" s="3" t="str">
        <f t="shared" si="38"/>
        <v>15</v>
      </c>
      <c r="G423" s="4" t="str">
        <f>"30"</f>
        <v>30</v>
      </c>
      <c r="H423" s="5">
        <v>70</v>
      </c>
      <c r="I423" s="3"/>
    </row>
    <row r="424" customHeight="1" spans="1:9">
      <c r="A424" s="3" t="str">
        <f t="shared" si="37"/>
        <v>0118</v>
      </c>
      <c r="B424" s="3" t="s">
        <v>12</v>
      </c>
      <c r="C424" s="3" t="str">
        <f>"翟璐颖"</f>
        <v>翟璐颖</v>
      </c>
      <c r="D424" s="3" t="str">
        <f t="shared" si="40"/>
        <v>女</v>
      </c>
      <c r="E424" s="3" t="str">
        <f>"2507011601"</f>
        <v>2507011601</v>
      </c>
      <c r="F424" s="3" t="str">
        <f t="shared" ref="F424:F449" si="41">"16"</f>
        <v>16</v>
      </c>
      <c r="G424" s="4" t="str">
        <f>"01"</f>
        <v>01</v>
      </c>
      <c r="H424" s="5">
        <v>68.5</v>
      </c>
      <c r="I424" s="3"/>
    </row>
    <row r="425" customHeight="1" spans="1:9">
      <c r="A425" s="3" t="str">
        <f t="shared" si="37"/>
        <v>0118</v>
      </c>
      <c r="B425" s="3" t="s">
        <v>12</v>
      </c>
      <c r="C425" s="3" t="str">
        <f>"朱倩"</f>
        <v>朱倩</v>
      </c>
      <c r="D425" s="3" t="str">
        <f t="shared" si="40"/>
        <v>女</v>
      </c>
      <c r="E425" s="3" t="str">
        <f>"2507011602"</f>
        <v>2507011602</v>
      </c>
      <c r="F425" s="3" t="str">
        <f t="shared" si="41"/>
        <v>16</v>
      </c>
      <c r="G425" s="4" t="str">
        <f>"02"</f>
        <v>02</v>
      </c>
      <c r="H425" s="5">
        <v>69.5</v>
      </c>
      <c r="I425" s="3"/>
    </row>
    <row r="426" customHeight="1" spans="1:9">
      <c r="A426" s="3" t="str">
        <f t="shared" si="37"/>
        <v>0118</v>
      </c>
      <c r="B426" s="3" t="s">
        <v>12</v>
      </c>
      <c r="C426" s="3" t="str">
        <f>"于婉娜"</f>
        <v>于婉娜</v>
      </c>
      <c r="D426" s="3" t="str">
        <f t="shared" si="40"/>
        <v>女</v>
      </c>
      <c r="E426" s="3" t="str">
        <f>"2507011603"</f>
        <v>2507011603</v>
      </c>
      <c r="F426" s="3" t="str">
        <f t="shared" si="41"/>
        <v>16</v>
      </c>
      <c r="G426" s="4" t="str">
        <f>"03"</f>
        <v>03</v>
      </c>
      <c r="H426" s="5">
        <v>70.5</v>
      </c>
      <c r="I426" s="3"/>
    </row>
    <row r="427" customHeight="1" spans="1:9">
      <c r="A427" s="3" t="str">
        <f t="shared" si="37"/>
        <v>0118</v>
      </c>
      <c r="B427" s="3" t="s">
        <v>12</v>
      </c>
      <c r="C427" s="3" t="str">
        <f>"吴明川"</f>
        <v>吴明川</v>
      </c>
      <c r="D427" s="3" t="str">
        <f>"男"</f>
        <v>男</v>
      </c>
      <c r="E427" s="3" t="str">
        <f>"2507011604"</f>
        <v>2507011604</v>
      </c>
      <c r="F427" s="3" t="str">
        <f t="shared" si="41"/>
        <v>16</v>
      </c>
      <c r="G427" s="4" t="str">
        <f>"04"</f>
        <v>04</v>
      </c>
      <c r="H427" s="5">
        <v>72</v>
      </c>
      <c r="I427" s="3"/>
    </row>
    <row r="428" customHeight="1" spans="1:9">
      <c r="A428" s="3" t="str">
        <f t="shared" si="37"/>
        <v>0118</v>
      </c>
      <c r="B428" s="3" t="s">
        <v>12</v>
      </c>
      <c r="C428" s="3" t="str">
        <f>"吴晗"</f>
        <v>吴晗</v>
      </c>
      <c r="D428" s="3" t="str">
        <f>"女"</f>
        <v>女</v>
      </c>
      <c r="E428" s="3" t="str">
        <f>"2507011605"</f>
        <v>2507011605</v>
      </c>
      <c r="F428" s="3" t="str">
        <f t="shared" si="41"/>
        <v>16</v>
      </c>
      <c r="G428" s="4" t="str">
        <f>"05"</f>
        <v>05</v>
      </c>
      <c r="H428" s="5">
        <v>66.5</v>
      </c>
      <c r="I428" s="3"/>
    </row>
    <row r="429" customHeight="1" spans="1:9">
      <c r="A429" s="3" t="str">
        <f t="shared" si="37"/>
        <v>0118</v>
      </c>
      <c r="B429" s="3" t="s">
        <v>12</v>
      </c>
      <c r="C429" s="3" t="str">
        <f>"姜腾腾"</f>
        <v>姜腾腾</v>
      </c>
      <c r="D429" s="3" t="str">
        <f>"女"</f>
        <v>女</v>
      </c>
      <c r="E429" s="3" t="str">
        <f>"2507011606"</f>
        <v>2507011606</v>
      </c>
      <c r="F429" s="3" t="str">
        <f t="shared" si="41"/>
        <v>16</v>
      </c>
      <c r="G429" s="4" t="str">
        <f>"06"</f>
        <v>06</v>
      </c>
      <c r="H429" s="5">
        <v>0</v>
      </c>
      <c r="I429" s="3" t="s">
        <v>11</v>
      </c>
    </row>
    <row r="430" customHeight="1" spans="1:9">
      <c r="A430" s="3" t="str">
        <f t="shared" si="37"/>
        <v>0118</v>
      </c>
      <c r="B430" s="3" t="s">
        <v>12</v>
      </c>
      <c r="C430" s="3" t="str">
        <f>"谷慧"</f>
        <v>谷慧</v>
      </c>
      <c r="D430" s="3" t="str">
        <f>"女"</f>
        <v>女</v>
      </c>
      <c r="E430" s="3" t="str">
        <f>"2507011607"</f>
        <v>2507011607</v>
      </c>
      <c r="F430" s="3" t="str">
        <f t="shared" si="41"/>
        <v>16</v>
      </c>
      <c r="G430" s="4" t="str">
        <f>"07"</f>
        <v>07</v>
      </c>
      <c r="H430" s="5">
        <v>0</v>
      </c>
      <c r="I430" s="3" t="s">
        <v>11</v>
      </c>
    </row>
    <row r="431" customHeight="1" spans="1:9">
      <c r="A431" s="3" t="str">
        <f t="shared" si="37"/>
        <v>0118</v>
      </c>
      <c r="B431" s="3" t="s">
        <v>12</v>
      </c>
      <c r="C431" s="3" t="str">
        <f>"刘涛"</f>
        <v>刘涛</v>
      </c>
      <c r="D431" s="3" t="str">
        <f>"男"</f>
        <v>男</v>
      </c>
      <c r="E431" s="3" t="str">
        <f>"2507011608"</f>
        <v>2507011608</v>
      </c>
      <c r="F431" s="3" t="str">
        <f t="shared" si="41"/>
        <v>16</v>
      </c>
      <c r="G431" s="4" t="str">
        <f>"08"</f>
        <v>08</v>
      </c>
      <c r="H431" s="5">
        <v>72.5</v>
      </c>
      <c r="I431" s="3"/>
    </row>
    <row r="432" customHeight="1" spans="1:9">
      <c r="A432" s="3" t="str">
        <f t="shared" si="37"/>
        <v>0118</v>
      </c>
      <c r="B432" s="3" t="s">
        <v>12</v>
      </c>
      <c r="C432" s="3" t="str">
        <f>"陈秋"</f>
        <v>陈秋</v>
      </c>
      <c r="D432" s="3" t="str">
        <f t="shared" ref="D432:D443" si="42">"女"</f>
        <v>女</v>
      </c>
      <c r="E432" s="3" t="str">
        <f>"2507011609"</f>
        <v>2507011609</v>
      </c>
      <c r="F432" s="3" t="str">
        <f t="shared" si="41"/>
        <v>16</v>
      </c>
      <c r="G432" s="4" t="str">
        <f>"09"</f>
        <v>09</v>
      </c>
      <c r="H432" s="5">
        <v>83.5</v>
      </c>
      <c r="I432" s="3"/>
    </row>
    <row r="433" customHeight="1" spans="1:9">
      <c r="A433" s="3" t="str">
        <f t="shared" si="37"/>
        <v>0118</v>
      </c>
      <c r="B433" s="3" t="s">
        <v>12</v>
      </c>
      <c r="C433" s="3" t="str">
        <f>"邵雪维"</f>
        <v>邵雪维</v>
      </c>
      <c r="D433" s="3" t="str">
        <f t="shared" si="42"/>
        <v>女</v>
      </c>
      <c r="E433" s="3" t="str">
        <f>"2507011610"</f>
        <v>2507011610</v>
      </c>
      <c r="F433" s="3" t="str">
        <f t="shared" si="41"/>
        <v>16</v>
      </c>
      <c r="G433" s="4" t="str">
        <f>"10"</f>
        <v>10</v>
      </c>
      <c r="H433" s="5">
        <v>0</v>
      </c>
      <c r="I433" s="3" t="s">
        <v>11</v>
      </c>
    </row>
    <row r="434" customHeight="1" spans="1:9">
      <c r="A434" s="3" t="str">
        <f t="shared" si="37"/>
        <v>0118</v>
      </c>
      <c r="B434" s="3" t="s">
        <v>12</v>
      </c>
      <c r="C434" s="3" t="str">
        <f>"韩书贤"</f>
        <v>韩书贤</v>
      </c>
      <c r="D434" s="3" t="str">
        <f t="shared" si="42"/>
        <v>女</v>
      </c>
      <c r="E434" s="3" t="str">
        <f>"2507011611"</f>
        <v>2507011611</v>
      </c>
      <c r="F434" s="3" t="str">
        <f t="shared" si="41"/>
        <v>16</v>
      </c>
      <c r="G434" s="4" t="str">
        <f>"11"</f>
        <v>11</v>
      </c>
      <c r="H434" s="5">
        <v>67</v>
      </c>
      <c r="I434" s="3"/>
    </row>
    <row r="435" customHeight="1" spans="1:9">
      <c r="A435" s="3" t="str">
        <f t="shared" si="37"/>
        <v>0118</v>
      </c>
      <c r="B435" s="3" t="s">
        <v>12</v>
      </c>
      <c r="C435" s="3" t="str">
        <f>"张妍妍"</f>
        <v>张妍妍</v>
      </c>
      <c r="D435" s="3" t="str">
        <f t="shared" si="42"/>
        <v>女</v>
      </c>
      <c r="E435" s="3" t="str">
        <f>"2507011612"</f>
        <v>2507011612</v>
      </c>
      <c r="F435" s="3" t="str">
        <f t="shared" si="41"/>
        <v>16</v>
      </c>
      <c r="G435" s="4" t="str">
        <f>"12"</f>
        <v>12</v>
      </c>
      <c r="H435" s="5">
        <v>80</v>
      </c>
      <c r="I435" s="3"/>
    </row>
    <row r="436" customHeight="1" spans="1:9">
      <c r="A436" s="3" t="str">
        <f t="shared" si="37"/>
        <v>0118</v>
      </c>
      <c r="B436" s="3" t="s">
        <v>12</v>
      </c>
      <c r="C436" s="3" t="str">
        <f>"李秉灿"</f>
        <v>李秉灿</v>
      </c>
      <c r="D436" s="3" t="str">
        <f t="shared" si="42"/>
        <v>女</v>
      </c>
      <c r="E436" s="3" t="str">
        <f>"2507011613"</f>
        <v>2507011613</v>
      </c>
      <c r="F436" s="3" t="str">
        <f t="shared" si="41"/>
        <v>16</v>
      </c>
      <c r="G436" s="4" t="str">
        <f>"13"</f>
        <v>13</v>
      </c>
      <c r="H436" s="5">
        <v>83</v>
      </c>
      <c r="I436" s="3"/>
    </row>
    <row r="437" customHeight="1" spans="1:9">
      <c r="A437" s="3" t="str">
        <f t="shared" si="37"/>
        <v>0118</v>
      </c>
      <c r="B437" s="3" t="s">
        <v>12</v>
      </c>
      <c r="C437" s="3" t="str">
        <f>"孟轩"</f>
        <v>孟轩</v>
      </c>
      <c r="D437" s="3" t="str">
        <f t="shared" si="42"/>
        <v>女</v>
      </c>
      <c r="E437" s="3" t="str">
        <f>"2507011614"</f>
        <v>2507011614</v>
      </c>
      <c r="F437" s="3" t="str">
        <f t="shared" si="41"/>
        <v>16</v>
      </c>
      <c r="G437" s="4" t="str">
        <f>"14"</f>
        <v>14</v>
      </c>
      <c r="H437" s="5">
        <v>79</v>
      </c>
      <c r="I437" s="3"/>
    </row>
    <row r="438" customHeight="1" spans="1:9">
      <c r="A438" s="3" t="str">
        <f t="shared" si="37"/>
        <v>0118</v>
      </c>
      <c r="B438" s="3" t="s">
        <v>12</v>
      </c>
      <c r="C438" s="3" t="str">
        <f>"宋孟薛"</f>
        <v>宋孟薛</v>
      </c>
      <c r="D438" s="3" t="str">
        <f t="shared" si="42"/>
        <v>女</v>
      </c>
      <c r="E438" s="3" t="str">
        <f>"2507011615"</f>
        <v>2507011615</v>
      </c>
      <c r="F438" s="3" t="str">
        <f t="shared" si="41"/>
        <v>16</v>
      </c>
      <c r="G438" s="4" t="str">
        <f>"15"</f>
        <v>15</v>
      </c>
      <c r="H438" s="5">
        <v>81.5</v>
      </c>
      <c r="I438" s="3"/>
    </row>
    <row r="439" customHeight="1" spans="1:9">
      <c r="A439" s="3" t="str">
        <f t="shared" si="37"/>
        <v>0118</v>
      </c>
      <c r="B439" s="3" t="s">
        <v>12</v>
      </c>
      <c r="C439" s="3" t="str">
        <f>"李洪荣"</f>
        <v>李洪荣</v>
      </c>
      <c r="D439" s="3" t="str">
        <f t="shared" si="42"/>
        <v>女</v>
      </c>
      <c r="E439" s="3" t="str">
        <f>"2507011616"</f>
        <v>2507011616</v>
      </c>
      <c r="F439" s="3" t="str">
        <f t="shared" si="41"/>
        <v>16</v>
      </c>
      <c r="G439" s="4" t="str">
        <f>"16"</f>
        <v>16</v>
      </c>
      <c r="H439" s="5">
        <v>0</v>
      </c>
      <c r="I439" s="3" t="s">
        <v>11</v>
      </c>
    </row>
    <row r="440" customHeight="1" spans="1:9">
      <c r="A440" s="3" t="str">
        <f t="shared" si="37"/>
        <v>0118</v>
      </c>
      <c r="B440" s="3" t="s">
        <v>12</v>
      </c>
      <c r="C440" s="3" t="str">
        <f>"于唐纳"</f>
        <v>于唐纳</v>
      </c>
      <c r="D440" s="3" t="str">
        <f t="shared" si="42"/>
        <v>女</v>
      </c>
      <c r="E440" s="3" t="str">
        <f>"2507011617"</f>
        <v>2507011617</v>
      </c>
      <c r="F440" s="3" t="str">
        <f t="shared" si="41"/>
        <v>16</v>
      </c>
      <c r="G440" s="4" t="str">
        <f>"17"</f>
        <v>17</v>
      </c>
      <c r="H440" s="5">
        <v>64.5</v>
      </c>
      <c r="I440" s="3"/>
    </row>
    <row r="441" customHeight="1" spans="1:9">
      <c r="A441" s="3" t="str">
        <f t="shared" si="37"/>
        <v>0118</v>
      </c>
      <c r="B441" s="3" t="s">
        <v>12</v>
      </c>
      <c r="C441" s="3" t="str">
        <f>"马雨桐"</f>
        <v>马雨桐</v>
      </c>
      <c r="D441" s="3" t="str">
        <f t="shared" si="42"/>
        <v>女</v>
      </c>
      <c r="E441" s="3" t="str">
        <f>"2507011618"</f>
        <v>2507011618</v>
      </c>
      <c r="F441" s="3" t="str">
        <f t="shared" si="41"/>
        <v>16</v>
      </c>
      <c r="G441" s="4" t="str">
        <f>"18"</f>
        <v>18</v>
      </c>
      <c r="H441" s="5">
        <v>74.5</v>
      </c>
      <c r="I441" s="3"/>
    </row>
    <row r="442" customHeight="1" spans="1:9">
      <c r="A442" s="3" t="str">
        <f t="shared" si="37"/>
        <v>0118</v>
      </c>
      <c r="B442" s="3" t="s">
        <v>12</v>
      </c>
      <c r="C442" s="3" t="str">
        <f>"赵婷"</f>
        <v>赵婷</v>
      </c>
      <c r="D442" s="3" t="str">
        <f t="shared" si="42"/>
        <v>女</v>
      </c>
      <c r="E442" s="3" t="str">
        <f>"2507011619"</f>
        <v>2507011619</v>
      </c>
      <c r="F442" s="3" t="str">
        <f t="shared" si="41"/>
        <v>16</v>
      </c>
      <c r="G442" s="4" t="str">
        <f>"19"</f>
        <v>19</v>
      </c>
      <c r="H442" s="5">
        <v>72.5</v>
      </c>
      <c r="I442" s="3"/>
    </row>
    <row r="443" customHeight="1" spans="1:9">
      <c r="A443" s="3" t="str">
        <f t="shared" si="37"/>
        <v>0118</v>
      </c>
      <c r="B443" s="3" t="s">
        <v>12</v>
      </c>
      <c r="C443" s="3" t="str">
        <f>"郑明明"</f>
        <v>郑明明</v>
      </c>
      <c r="D443" s="3" t="str">
        <f t="shared" si="42"/>
        <v>女</v>
      </c>
      <c r="E443" s="3" t="str">
        <f>"2507011620"</f>
        <v>2507011620</v>
      </c>
      <c r="F443" s="3" t="str">
        <f t="shared" si="41"/>
        <v>16</v>
      </c>
      <c r="G443" s="4" t="str">
        <f>"20"</f>
        <v>20</v>
      </c>
      <c r="H443" s="5">
        <v>66.5</v>
      </c>
      <c r="I443" s="3"/>
    </row>
    <row r="444" customHeight="1" spans="1:9">
      <c r="A444" s="3" t="str">
        <f t="shared" si="37"/>
        <v>0118</v>
      </c>
      <c r="B444" s="3" t="s">
        <v>12</v>
      </c>
      <c r="C444" s="3" t="str">
        <f>"陈冲"</f>
        <v>陈冲</v>
      </c>
      <c r="D444" s="3" t="str">
        <f>"男"</f>
        <v>男</v>
      </c>
      <c r="E444" s="3" t="str">
        <f>"2507011621"</f>
        <v>2507011621</v>
      </c>
      <c r="F444" s="3" t="str">
        <f t="shared" si="41"/>
        <v>16</v>
      </c>
      <c r="G444" s="4" t="str">
        <f>"21"</f>
        <v>21</v>
      </c>
      <c r="H444" s="5">
        <v>0</v>
      </c>
      <c r="I444" s="3" t="s">
        <v>11</v>
      </c>
    </row>
    <row r="445" customHeight="1" spans="1:9">
      <c r="A445" s="3" t="str">
        <f t="shared" si="37"/>
        <v>0118</v>
      </c>
      <c r="B445" s="3" t="s">
        <v>12</v>
      </c>
      <c r="C445" s="3" t="str">
        <f>"徐博"</f>
        <v>徐博</v>
      </c>
      <c r="D445" s="3" t="str">
        <f t="shared" ref="D445:D451" si="43">"女"</f>
        <v>女</v>
      </c>
      <c r="E445" s="3" t="str">
        <f>"2507011622"</f>
        <v>2507011622</v>
      </c>
      <c r="F445" s="3" t="str">
        <f t="shared" si="41"/>
        <v>16</v>
      </c>
      <c r="G445" s="4" t="str">
        <f>"22"</f>
        <v>22</v>
      </c>
      <c r="H445" s="5">
        <v>72</v>
      </c>
      <c r="I445" s="3"/>
    </row>
    <row r="446" customHeight="1" spans="1:9">
      <c r="A446" s="3" t="str">
        <f t="shared" si="37"/>
        <v>0118</v>
      </c>
      <c r="B446" s="3" t="s">
        <v>12</v>
      </c>
      <c r="C446" s="3" t="str">
        <f>"刘继尧"</f>
        <v>刘继尧</v>
      </c>
      <c r="D446" s="3" t="str">
        <f t="shared" si="43"/>
        <v>女</v>
      </c>
      <c r="E446" s="3" t="str">
        <f>"2507011623"</f>
        <v>2507011623</v>
      </c>
      <c r="F446" s="3" t="str">
        <f t="shared" si="41"/>
        <v>16</v>
      </c>
      <c r="G446" s="4" t="str">
        <f>"23"</f>
        <v>23</v>
      </c>
      <c r="H446" s="5">
        <v>0</v>
      </c>
      <c r="I446" s="3" t="s">
        <v>11</v>
      </c>
    </row>
    <row r="447" customHeight="1" spans="1:9">
      <c r="A447" s="3" t="str">
        <f t="shared" si="37"/>
        <v>0118</v>
      </c>
      <c r="B447" s="3" t="s">
        <v>12</v>
      </c>
      <c r="C447" s="3" t="str">
        <f>"焦海玲"</f>
        <v>焦海玲</v>
      </c>
      <c r="D447" s="3" t="str">
        <f t="shared" si="43"/>
        <v>女</v>
      </c>
      <c r="E447" s="3" t="str">
        <f>"2507011624"</f>
        <v>2507011624</v>
      </c>
      <c r="F447" s="3" t="str">
        <f t="shared" si="41"/>
        <v>16</v>
      </c>
      <c r="G447" s="4" t="str">
        <f>"24"</f>
        <v>24</v>
      </c>
      <c r="H447" s="5">
        <v>69</v>
      </c>
      <c r="I447" s="3"/>
    </row>
    <row r="448" customHeight="1" spans="1:9">
      <c r="A448" s="3" t="str">
        <f t="shared" si="37"/>
        <v>0118</v>
      </c>
      <c r="B448" s="3" t="s">
        <v>12</v>
      </c>
      <c r="C448" s="3" t="str">
        <f>"李文慧"</f>
        <v>李文慧</v>
      </c>
      <c r="D448" s="3" t="str">
        <f t="shared" si="43"/>
        <v>女</v>
      </c>
      <c r="E448" s="3" t="str">
        <f>"2507011625"</f>
        <v>2507011625</v>
      </c>
      <c r="F448" s="3" t="str">
        <f t="shared" si="41"/>
        <v>16</v>
      </c>
      <c r="G448" s="4" t="str">
        <f>"25"</f>
        <v>25</v>
      </c>
      <c r="H448" s="5">
        <v>0</v>
      </c>
      <c r="I448" s="3" t="s">
        <v>11</v>
      </c>
    </row>
    <row r="449" customHeight="1" spans="1:9">
      <c r="A449" s="3" t="str">
        <f t="shared" si="37"/>
        <v>0118</v>
      </c>
      <c r="B449" s="3" t="s">
        <v>12</v>
      </c>
      <c r="C449" s="3" t="str">
        <f>"朱真"</f>
        <v>朱真</v>
      </c>
      <c r="D449" s="3" t="str">
        <f t="shared" si="43"/>
        <v>女</v>
      </c>
      <c r="E449" s="3" t="str">
        <f>"2507011626"</f>
        <v>2507011626</v>
      </c>
      <c r="F449" s="3" t="str">
        <f t="shared" si="41"/>
        <v>16</v>
      </c>
      <c r="G449" s="4" t="str">
        <f>"26"</f>
        <v>26</v>
      </c>
      <c r="H449" s="5">
        <v>0</v>
      </c>
      <c r="I449" s="3" t="s">
        <v>11</v>
      </c>
    </row>
    <row r="450" customHeight="1" spans="1:9">
      <c r="A450" s="3" t="str">
        <f t="shared" ref="A450:A513" si="44">"0103"</f>
        <v>0103</v>
      </c>
      <c r="B450" s="3" t="s">
        <v>13</v>
      </c>
      <c r="C450" s="3" t="str">
        <f>"李文竹"</f>
        <v>李文竹</v>
      </c>
      <c r="D450" s="3" t="str">
        <f t="shared" si="43"/>
        <v>女</v>
      </c>
      <c r="E450" s="3" t="str">
        <f>"2507011701"</f>
        <v>2507011701</v>
      </c>
      <c r="F450" s="3" t="str">
        <f t="shared" ref="F450:F479" si="45">"17"</f>
        <v>17</v>
      </c>
      <c r="G450" s="4" t="str">
        <f>"01"</f>
        <v>01</v>
      </c>
      <c r="H450" s="5">
        <v>20</v>
      </c>
      <c r="I450" s="3"/>
    </row>
    <row r="451" customHeight="1" spans="1:9">
      <c r="A451" s="3" t="str">
        <f t="shared" si="44"/>
        <v>0103</v>
      </c>
      <c r="B451" s="3" t="s">
        <v>13</v>
      </c>
      <c r="C451" s="3" t="str">
        <f>"刘璐璐"</f>
        <v>刘璐璐</v>
      </c>
      <c r="D451" s="3" t="str">
        <f t="shared" si="43"/>
        <v>女</v>
      </c>
      <c r="E451" s="3" t="str">
        <f>"2507011702"</f>
        <v>2507011702</v>
      </c>
      <c r="F451" s="3" t="str">
        <f t="shared" si="45"/>
        <v>17</v>
      </c>
      <c r="G451" s="4" t="str">
        <f>"02"</f>
        <v>02</v>
      </c>
      <c r="H451" s="5">
        <v>27.3</v>
      </c>
      <c r="I451" s="3"/>
    </row>
    <row r="452" customHeight="1" spans="1:9">
      <c r="A452" s="3" t="str">
        <f t="shared" si="44"/>
        <v>0103</v>
      </c>
      <c r="B452" s="3" t="s">
        <v>13</v>
      </c>
      <c r="C452" s="3" t="str">
        <f>"梁昊天"</f>
        <v>梁昊天</v>
      </c>
      <c r="D452" s="3" t="str">
        <f>"男"</f>
        <v>男</v>
      </c>
      <c r="E452" s="3" t="str">
        <f>"2507011703"</f>
        <v>2507011703</v>
      </c>
      <c r="F452" s="3" t="str">
        <f t="shared" si="45"/>
        <v>17</v>
      </c>
      <c r="G452" s="4" t="str">
        <f>"03"</f>
        <v>03</v>
      </c>
      <c r="H452" s="5">
        <v>54.7</v>
      </c>
      <c r="I452" s="3"/>
    </row>
    <row r="453" customHeight="1" spans="1:9">
      <c r="A453" s="3" t="str">
        <f t="shared" si="44"/>
        <v>0103</v>
      </c>
      <c r="B453" s="3" t="s">
        <v>13</v>
      </c>
      <c r="C453" s="3" t="str">
        <f>"李桃"</f>
        <v>李桃</v>
      </c>
      <c r="D453" s="3" t="str">
        <f>"女"</f>
        <v>女</v>
      </c>
      <c r="E453" s="3" t="str">
        <f>"2507011704"</f>
        <v>2507011704</v>
      </c>
      <c r="F453" s="3" t="str">
        <f t="shared" si="45"/>
        <v>17</v>
      </c>
      <c r="G453" s="4" t="str">
        <f>"04"</f>
        <v>04</v>
      </c>
      <c r="H453" s="5">
        <v>34.5</v>
      </c>
      <c r="I453" s="3"/>
    </row>
    <row r="454" customHeight="1" spans="1:9">
      <c r="A454" s="3" t="str">
        <f t="shared" si="44"/>
        <v>0103</v>
      </c>
      <c r="B454" s="3" t="s">
        <v>13</v>
      </c>
      <c r="C454" s="3" t="str">
        <f>"蔡宇飞"</f>
        <v>蔡宇飞</v>
      </c>
      <c r="D454" s="3" t="str">
        <f>"男"</f>
        <v>男</v>
      </c>
      <c r="E454" s="3" t="str">
        <f>"2507011705"</f>
        <v>2507011705</v>
      </c>
      <c r="F454" s="3" t="str">
        <f t="shared" si="45"/>
        <v>17</v>
      </c>
      <c r="G454" s="4" t="str">
        <f>"05"</f>
        <v>05</v>
      </c>
      <c r="H454" s="5">
        <v>47.1</v>
      </c>
      <c r="I454" s="3"/>
    </row>
    <row r="455" customHeight="1" spans="1:9">
      <c r="A455" s="3" t="str">
        <f t="shared" si="44"/>
        <v>0103</v>
      </c>
      <c r="B455" s="3" t="s">
        <v>13</v>
      </c>
      <c r="C455" s="3" t="str">
        <f>"李志森"</f>
        <v>李志森</v>
      </c>
      <c r="D455" s="3" t="str">
        <f>"男"</f>
        <v>男</v>
      </c>
      <c r="E455" s="3" t="str">
        <f>"2507011706"</f>
        <v>2507011706</v>
      </c>
      <c r="F455" s="3" t="str">
        <f t="shared" si="45"/>
        <v>17</v>
      </c>
      <c r="G455" s="4" t="str">
        <f>"06"</f>
        <v>06</v>
      </c>
      <c r="H455" s="5">
        <v>62.2</v>
      </c>
      <c r="I455" s="3"/>
    </row>
    <row r="456" customHeight="1" spans="1:9">
      <c r="A456" s="3" t="str">
        <f t="shared" si="44"/>
        <v>0103</v>
      </c>
      <c r="B456" s="3" t="s">
        <v>13</v>
      </c>
      <c r="C456" s="3" t="str">
        <f>"田茂玉"</f>
        <v>田茂玉</v>
      </c>
      <c r="D456" s="3" t="str">
        <f>"男"</f>
        <v>男</v>
      </c>
      <c r="E456" s="3" t="str">
        <f>"2507011707"</f>
        <v>2507011707</v>
      </c>
      <c r="F456" s="3" t="str">
        <f t="shared" si="45"/>
        <v>17</v>
      </c>
      <c r="G456" s="4" t="str">
        <f>"07"</f>
        <v>07</v>
      </c>
      <c r="H456" s="5">
        <v>0</v>
      </c>
      <c r="I456" s="3" t="s">
        <v>11</v>
      </c>
    </row>
    <row r="457" customHeight="1" spans="1:9">
      <c r="A457" s="3" t="str">
        <f t="shared" si="44"/>
        <v>0103</v>
      </c>
      <c r="B457" s="3" t="s">
        <v>13</v>
      </c>
      <c r="C457" s="3" t="str">
        <f>"张姝姝"</f>
        <v>张姝姝</v>
      </c>
      <c r="D457" s="3" t="str">
        <f>"女"</f>
        <v>女</v>
      </c>
      <c r="E457" s="3" t="str">
        <f>"2507011708"</f>
        <v>2507011708</v>
      </c>
      <c r="F457" s="3" t="str">
        <f t="shared" si="45"/>
        <v>17</v>
      </c>
      <c r="G457" s="4" t="str">
        <f>"08"</f>
        <v>08</v>
      </c>
      <c r="H457" s="5">
        <v>45.1</v>
      </c>
      <c r="I457" s="3"/>
    </row>
    <row r="458" customHeight="1" spans="1:9">
      <c r="A458" s="3" t="str">
        <f t="shared" si="44"/>
        <v>0103</v>
      </c>
      <c r="B458" s="3" t="s">
        <v>13</v>
      </c>
      <c r="C458" s="3" t="str">
        <f>"闻静"</f>
        <v>闻静</v>
      </c>
      <c r="D458" s="3" t="str">
        <f>"女"</f>
        <v>女</v>
      </c>
      <c r="E458" s="3" t="str">
        <f>"2507011709"</f>
        <v>2507011709</v>
      </c>
      <c r="F458" s="3" t="str">
        <f t="shared" si="45"/>
        <v>17</v>
      </c>
      <c r="G458" s="4" t="str">
        <f>"09"</f>
        <v>09</v>
      </c>
      <c r="H458" s="5">
        <v>0</v>
      </c>
      <c r="I458" s="3" t="s">
        <v>11</v>
      </c>
    </row>
    <row r="459" customHeight="1" spans="1:9">
      <c r="A459" s="3" t="str">
        <f t="shared" si="44"/>
        <v>0103</v>
      </c>
      <c r="B459" s="3" t="s">
        <v>13</v>
      </c>
      <c r="C459" s="3" t="str">
        <f>"吴光飞"</f>
        <v>吴光飞</v>
      </c>
      <c r="D459" s="3" t="str">
        <f>"男"</f>
        <v>男</v>
      </c>
      <c r="E459" s="3" t="str">
        <f>"2507011710"</f>
        <v>2507011710</v>
      </c>
      <c r="F459" s="3" t="str">
        <f t="shared" si="45"/>
        <v>17</v>
      </c>
      <c r="G459" s="4" t="str">
        <f>"10"</f>
        <v>10</v>
      </c>
      <c r="H459" s="5">
        <v>32.8</v>
      </c>
      <c r="I459" s="3"/>
    </row>
    <row r="460" customHeight="1" spans="1:9">
      <c r="A460" s="3" t="str">
        <f t="shared" si="44"/>
        <v>0103</v>
      </c>
      <c r="B460" s="3" t="s">
        <v>13</v>
      </c>
      <c r="C460" s="3" t="str">
        <f>"陈淑婷"</f>
        <v>陈淑婷</v>
      </c>
      <c r="D460" s="3" t="str">
        <f>"女"</f>
        <v>女</v>
      </c>
      <c r="E460" s="3" t="str">
        <f>"2507011711"</f>
        <v>2507011711</v>
      </c>
      <c r="F460" s="3" t="str">
        <f t="shared" si="45"/>
        <v>17</v>
      </c>
      <c r="G460" s="4" t="str">
        <f>"11"</f>
        <v>11</v>
      </c>
      <c r="H460" s="5">
        <v>37.4</v>
      </c>
      <c r="I460" s="3"/>
    </row>
    <row r="461" customHeight="1" spans="1:9">
      <c r="A461" s="3" t="str">
        <f t="shared" si="44"/>
        <v>0103</v>
      </c>
      <c r="B461" s="3" t="s">
        <v>13</v>
      </c>
      <c r="C461" s="3" t="str">
        <f>"李丹"</f>
        <v>李丹</v>
      </c>
      <c r="D461" s="3" t="str">
        <f>"女"</f>
        <v>女</v>
      </c>
      <c r="E461" s="3" t="str">
        <f>"2507011712"</f>
        <v>2507011712</v>
      </c>
      <c r="F461" s="3" t="str">
        <f t="shared" si="45"/>
        <v>17</v>
      </c>
      <c r="G461" s="4" t="str">
        <f>"12"</f>
        <v>12</v>
      </c>
      <c r="H461" s="5">
        <v>54.8</v>
      </c>
      <c r="I461" s="3"/>
    </row>
    <row r="462" customHeight="1" spans="1:9">
      <c r="A462" s="3" t="str">
        <f t="shared" si="44"/>
        <v>0103</v>
      </c>
      <c r="B462" s="3" t="s">
        <v>13</v>
      </c>
      <c r="C462" s="3" t="str">
        <f>"王小丫"</f>
        <v>王小丫</v>
      </c>
      <c r="D462" s="3" t="str">
        <f>"女"</f>
        <v>女</v>
      </c>
      <c r="E462" s="3" t="str">
        <f>"2507011713"</f>
        <v>2507011713</v>
      </c>
      <c r="F462" s="3" t="str">
        <f t="shared" si="45"/>
        <v>17</v>
      </c>
      <c r="G462" s="4" t="str">
        <f>"13"</f>
        <v>13</v>
      </c>
      <c r="H462" s="5">
        <v>24.2</v>
      </c>
      <c r="I462" s="3"/>
    </row>
    <row r="463" customHeight="1" spans="1:9">
      <c r="A463" s="3" t="str">
        <f t="shared" si="44"/>
        <v>0103</v>
      </c>
      <c r="B463" s="3" t="s">
        <v>13</v>
      </c>
      <c r="C463" s="3" t="str">
        <f>"禹彩红"</f>
        <v>禹彩红</v>
      </c>
      <c r="D463" s="3" t="str">
        <f>"女"</f>
        <v>女</v>
      </c>
      <c r="E463" s="3" t="str">
        <f>"2507011714"</f>
        <v>2507011714</v>
      </c>
      <c r="F463" s="3" t="str">
        <f t="shared" si="45"/>
        <v>17</v>
      </c>
      <c r="G463" s="4" t="str">
        <f>"14"</f>
        <v>14</v>
      </c>
      <c r="H463" s="5">
        <v>19.9</v>
      </c>
      <c r="I463" s="3"/>
    </row>
    <row r="464" customHeight="1" spans="1:9">
      <c r="A464" s="3" t="str">
        <f t="shared" si="44"/>
        <v>0103</v>
      </c>
      <c r="B464" s="3" t="s">
        <v>13</v>
      </c>
      <c r="C464" s="3" t="str">
        <f>"赵巍"</f>
        <v>赵巍</v>
      </c>
      <c r="D464" s="3" t="str">
        <f>"女"</f>
        <v>女</v>
      </c>
      <c r="E464" s="3" t="str">
        <f>"2507011715"</f>
        <v>2507011715</v>
      </c>
      <c r="F464" s="3" t="str">
        <f t="shared" si="45"/>
        <v>17</v>
      </c>
      <c r="G464" s="4" t="str">
        <f>"15"</f>
        <v>15</v>
      </c>
      <c r="H464" s="5">
        <v>0</v>
      </c>
      <c r="I464" s="3" t="s">
        <v>11</v>
      </c>
    </row>
    <row r="465" customHeight="1" spans="1:9">
      <c r="A465" s="3" t="str">
        <f t="shared" si="44"/>
        <v>0103</v>
      </c>
      <c r="B465" s="3" t="s">
        <v>13</v>
      </c>
      <c r="C465" s="3" t="str">
        <f>"陆琥"</f>
        <v>陆琥</v>
      </c>
      <c r="D465" s="3" t="str">
        <f>"男"</f>
        <v>男</v>
      </c>
      <c r="E465" s="3" t="str">
        <f>"2507011716"</f>
        <v>2507011716</v>
      </c>
      <c r="F465" s="3" t="str">
        <f t="shared" si="45"/>
        <v>17</v>
      </c>
      <c r="G465" s="4" t="str">
        <f>"16"</f>
        <v>16</v>
      </c>
      <c r="H465" s="5">
        <v>0</v>
      </c>
      <c r="I465" s="3" t="s">
        <v>11</v>
      </c>
    </row>
    <row r="466" customHeight="1" spans="1:9">
      <c r="A466" s="3" t="str">
        <f t="shared" si="44"/>
        <v>0103</v>
      </c>
      <c r="B466" s="3" t="s">
        <v>13</v>
      </c>
      <c r="C466" s="3" t="str">
        <f>"信欣"</f>
        <v>信欣</v>
      </c>
      <c r="D466" s="3" t="str">
        <f>"女"</f>
        <v>女</v>
      </c>
      <c r="E466" s="3" t="str">
        <f>"2507011717"</f>
        <v>2507011717</v>
      </c>
      <c r="F466" s="3" t="str">
        <f t="shared" si="45"/>
        <v>17</v>
      </c>
      <c r="G466" s="4" t="str">
        <f>"17"</f>
        <v>17</v>
      </c>
      <c r="H466" s="5">
        <v>39.6</v>
      </c>
      <c r="I466" s="3"/>
    </row>
    <row r="467" customHeight="1" spans="1:9">
      <c r="A467" s="3" t="str">
        <f t="shared" si="44"/>
        <v>0103</v>
      </c>
      <c r="B467" s="3" t="s">
        <v>13</v>
      </c>
      <c r="C467" s="3" t="str">
        <f>"徐娅"</f>
        <v>徐娅</v>
      </c>
      <c r="D467" s="3" t="str">
        <f>"女"</f>
        <v>女</v>
      </c>
      <c r="E467" s="3" t="str">
        <f>"2507011718"</f>
        <v>2507011718</v>
      </c>
      <c r="F467" s="3" t="str">
        <f t="shared" si="45"/>
        <v>17</v>
      </c>
      <c r="G467" s="4" t="str">
        <f>"18"</f>
        <v>18</v>
      </c>
      <c r="H467" s="5">
        <v>36.7</v>
      </c>
      <c r="I467" s="3"/>
    </row>
    <row r="468" customHeight="1" spans="1:9">
      <c r="A468" s="3" t="str">
        <f t="shared" si="44"/>
        <v>0103</v>
      </c>
      <c r="B468" s="3" t="s">
        <v>13</v>
      </c>
      <c r="C468" s="3" t="str">
        <f>"朱淼"</f>
        <v>朱淼</v>
      </c>
      <c r="D468" s="3" t="str">
        <f>"女"</f>
        <v>女</v>
      </c>
      <c r="E468" s="3" t="str">
        <f>"2507011719"</f>
        <v>2507011719</v>
      </c>
      <c r="F468" s="3" t="str">
        <f t="shared" si="45"/>
        <v>17</v>
      </c>
      <c r="G468" s="4" t="str">
        <f>"19"</f>
        <v>19</v>
      </c>
      <c r="H468" s="5">
        <v>0</v>
      </c>
      <c r="I468" s="3" t="s">
        <v>11</v>
      </c>
    </row>
    <row r="469" customHeight="1" spans="1:9">
      <c r="A469" s="3" t="str">
        <f t="shared" si="44"/>
        <v>0103</v>
      </c>
      <c r="B469" s="3" t="s">
        <v>13</v>
      </c>
      <c r="C469" s="3" t="str">
        <f>"潘璐璐"</f>
        <v>潘璐璐</v>
      </c>
      <c r="D469" s="3" t="str">
        <f>"女"</f>
        <v>女</v>
      </c>
      <c r="E469" s="3" t="str">
        <f>"2507011720"</f>
        <v>2507011720</v>
      </c>
      <c r="F469" s="3" t="str">
        <f t="shared" si="45"/>
        <v>17</v>
      </c>
      <c r="G469" s="4" t="str">
        <f>"20"</f>
        <v>20</v>
      </c>
      <c r="H469" s="5">
        <v>0</v>
      </c>
      <c r="I469" s="3" t="s">
        <v>11</v>
      </c>
    </row>
    <row r="470" customHeight="1" spans="1:9">
      <c r="A470" s="3" t="str">
        <f t="shared" si="44"/>
        <v>0103</v>
      </c>
      <c r="B470" s="3" t="s">
        <v>13</v>
      </c>
      <c r="C470" s="3" t="str">
        <f>"宋友玉"</f>
        <v>宋友玉</v>
      </c>
      <c r="D470" s="3" t="str">
        <f>"男"</f>
        <v>男</v>
      </c>
      <c r="E470" s="3" t="str">
        <f>"2507011721"</f>
        <v>2507011721</v>
      </c>
      <c r="F470" s="3" t="str">
        <f t="shared" si="45"/>
        <v>17</v>
      </c>
      <c r="G470" s="4" t="str">
        <f>"21"</f>
        <v>21</v>
      </c>
      <c r="H470" s="5">
        <v>0</v>
      </c>
      <c r="I470" s="3" t="s">
        <v>11</v>
      </c>
    </row>
    <row r="471" customHeight="1" spans="1:9">
      <c r="A471" s="3" t="str">
        <f t="shared" si="44"/>
        <v>0103</v>
      </c>
      <c r="B471" s="3" t="s">
        <v>13</v>
      </c>
      <c r="C471" s="3" t="str">
        <f>"黄雨晴"</f>
        <v>黄雨晴</v>
      </c>
      <c r="D471" s="3" t="str">
        <f>"女"</f>
        <v>女</v>
      </c>
      <c r="E471" s="3" t="str">
        <f>"2507011722"</f>
        <v>2507011722</v>
      </c>
      <c r="F471" s="3" t="str">
        <f t="shared" si="45"/>
        <v>17</v>
      </c>
      <c r="G471" s="4" t="str">
        <f>"22"</f>
        <v>22</v>
      </c>
      <c r="H471" s="5">
        <v>46.4</v>
      </c>
      <c r="I471" s="3"/>
    </row>
    <row r="472" customHeight="1" spans="1:9">
      <c r="A472" s="3" t="str">
        <f t="shared" si="44"/>
        <v>0103</v>
      </c>
      <c r="B472" s="3" t="s">
        <v>13</v>
      </c>
      <c r="C472" s="3" t="str">
        <f>"赵启伟"</f>
        <v>赵启伟</v>
      </c>
      <c r="D472" s="3" t="str">
        <f>"男"</f>
        <v>男</v>
      </c>
      <c r="E472" s="3" t="str">
        <f>"2507011723"</f>
        <v>2507011723</v>
      </c>
      <c r="F472" s="3" t="str">
        <f t="shared" si="45"/>
        <v>17</v>
      </c>
      <c r="G472" s="4" t="str">
        <f>"23"</f>
        <v>23</v>
      </c>
      <c r="H472" s="5">
        <v>42.6</v>
      </c>
      <c r="I472" s="3"/>
    </row>
    <row r="473" customHeight="1" spans="1:9">
      <c r="A473" s="3" t="str">
        <f t="shared" si="44"/>
        <v>0103</v>
      </c>
      <c r="B473" s="3" t="s">
        <v>13</v>
      </c>
      <c r="C473" s="3" t="str">
        <f>"胡杰"</f>
        <v>胡杰</v>
      </c>
      <c r="D473" s="3" t="str">
        <f>"男"</f>
        <v>男</v>
      </c>
      <c r="E473" s="3" t="str">
        <f>"2507011724"</f>
        <v>2507011724</v>
      </c>
      <c r="F473" s="3" t="str">
        <f t="shared" si="45"/>
        <v>17</v>
      </c>
      <c r="G473" s="4" t="str">
        <f>"24"</f>
        <v>24</v>
      </c>
      <c r="H473" s="5">
        <v>58.7</v>
      </c>
      <c r="I473" s="3"/>
    </row>
    <row r="474" customHeight="1" spans="1:9">
      <c r="A474" s="3" t="str">
        <f t="shared" si="44"/>
        <v>0103</v>
      </c>
      <c r="B474" s="3" t="s">
        <v>13</v>
      </c>
      <c r="C474" s="3" t="str">
        <f>"倪梦寒"</f>
        <v>倪梦寒</v>
      </c>
      <c r="D474" s="3" t="str">
        <f t="shared" ref="D474:D479" si="46">"女"</f>
        <v>女</v>
      </c>
      <c r="E474" s="3" t="str">
        <f>"2507011725"</f>
        <v>2507011725</v>
      </c>
      <c r="F474" s="3" t="str">
        <f t="shared" si="45"/>
        <v>17</v>
      </c>
      <c r="G474" s="4" t="str">
        <f>"25"</f>
        <v>25</v>
      </c>
      <c r="H474" s="5">
        <v>57.7</v>
      </c>
      <c r="I474" s="3"/>
    </row>
    <row r="475" customHeight="1" spans="1:9">
      <c r="A475" s="3" t="str">
        <f t="shared" si="44"/>
        <v>0103</v>
      </c>
      <c r="B475" s="3" t="s">
        <v>13</v>
      </c>
      <c r="C475" s="3" t="str">
        <f>"王雨欣"</f>
        <v>王雨欣</v>
      </c>
      <c r="D475" s="3" t="str">
        <f t="shared" si="46"/>
        <v>女</v>
      </c>
      <c r="E475" s="3" t="str">
        <f>"2507011726"</f>
        <v>2507011726</v>
      </c>
      <c r="F475" s="3" t="str">
        <f t="shared" si="45"/>
        <v>17</v>
      </c>
      <c r="G475" s="4" t="str">
        <f>"26"</f>
        <v>26</v>
      </c>
      <c r="H475" s="5">
        <v>0</v>
      </c>
      <c r="I475" s="3" t="s">
        <v>11</v>
      </c>
    </row>
    <row r="476" customHeight="1" spans="1:9">
      <c r="A476" s="3" t="str">
        <f t="shared" si="44"/>
        <v>0103</v>
      </c>
      <c r="B476" s="3" t="s">
        <v>13</v>
      </c>
      <c r="C476" s="3" t="str">
        <f>"潘静怡"</f>
        <v>潘静怡</v>
      </c>
      <c r="D476" s="3" t="str">
        <f t="shared" si="46"/>
        <v>女</v>
      </c>
      <c r="E476" s="3" t="str">
        <f>"2507011727"</f>
        <v>2507011727</v>
      </c>
      <c r="F476" s="3" t="str">
        <f t="shared" si="45"/>
        <v>17</v>
      </c>
      <c r="G476" s="4" t="str">
        <f>"27"</f>
        <v>27</v>
      </c>
      <c r="H476" s="5">
        <v>0</v>
      </c>
      <c r="I476" s="3" t="s">
        <v>11</v>
      </c>
    </row>
    <row r="477" customHeight="1" spans="1:9">
      <c r="A477" s="3" t="str">
        <f t="shared" si="44"/>
        <v>0103</v>
      </c>
      <c r="B477" s="3" t="s">
        <v>13</v>
      </c>
      <c r="C477" s="3" t="str">
        <f>"孔薇"</f>
        <v>孔薇</v>
      </c>
      <c r="D477" s="3" t="str">
        <f t="shared" si="46"/>
        <v>女</v>
      </c>
      <c r="E477" s="3" t="str">
        <f>"2507011728"</f>
        <v>2507011728</v>
      </c>
      <c r="F477" s="3" t="str">
        <f t="shared" si="45"/>
        <v>17</v>
      </c>
      <c r="G477" s="4" t="str">
        <f>"28"</f>
        <v>28</v>
      </c>
      <c r="H477" s="5">
        <v>59.3</v>
      </c>
      <c r="I477" s="3"/>
    </row>
    <row r="478" customHeight="1" spans="1:9">
      <c r="A478" s="3" t="str">
        <f t="shared" si="44"/>
        <v>0103</v>
      </c>
      <c r="B478" s="3" t="s">
        <v>13</v>
      </c>
      <c r="C478" s="3" t="str">
        <f>"胡天艺"</f>
        <v>胡天艺</v>
      </c>
      <c r="D478" s="3" t="str">
        <f t="shared" si="46"/>
        <v>女</v>
      </c>
      <c r="E478" s="3" t="str">
        <f>"2507011729"</f>
        <v>2507011729</v>
      </c>
      <c r="F478" s="3" t="str">
        <f t="shared" si="45"/>
        <v>17</v>
      </c>
      <c r="G478" s="4" t="str">
        <f>"29"</f>
        <v>29</v>
      </c>
      <c r="H478" s="5">
        <v>36.7</v>
      </c>
      <c r="I478" s="3"/>
    </row>
    <row r="479" customHeight="1" spans="1:9">
      <c r="A479" s="3" t="str">
        <f t="shared" si="44"/>
        <v>0103</v>
      </c>
      <c r="B479" s="3" t="s">
        <v>13</v>
      </c>
      <c r="C479" s="3" t="str">
        <f>"付佳琦"</f>
        <v>付佳琦</v>
      </c>
      <c r="D479" s="3" t="str">
        <f t="shared" si="46"/>
        <v>女</v>
      </c>
      <c r="E479" s="3" t="str">
        <f>"2507011730"</f>
        <v>2507011730</v>
      </c>
      <c r="F479" s="3" t="str">
        <f t="shared" si="45"/>
        <v>17</v>
      </c>
      <c r="G479" s="4" t="str">
        <f>"30"</f>
        <v>30</v>
      </c>
      <c r="H479" s="5">
        <v>0</v>
      </c>
      <c r="I479" s="3" t="s">
        <v>11</v>
      </c>
    </row>
    <row r="480" customHeight="1" spans="1:9">
      <c r="A480" s="3" t="str">
        <f t="shared" si="44"/>
        <v>0103</v>
      </c>
      <c r="B480" s="3" t="s">
        <v>13</v>
      </c>
      <c r="C480" s="3" t="str">
        <f>"刘文正"</f>
        <v>刘文正</v>
      </c>
      <c r="D480" s="3" t="str">
        <f>"男"</f>
        <v>男</v>
      </c>
      <c r="E480" s="3" t="str">
        <f>"2507011801"</f>
        <v>2507011801</v>
      </c>
      <c r="F480" s="3" t="str">
        <f t="shared" ref="F480:F509" si="47">"18"</f>
        <v>18</v>
      </c>
      <c r="G480" s="4" t="str">
        <f>"01"</f>
        <v>01</v>
      </c>
      <c r="H480" s="5">
        <v>0</v>
      </c>
      <c r="I480" s="3" t="s">
        <v>11</v>
      </c>
    </row>
    <row r="481" customHeight="1" spans="1:9">
      <c r="A481" s="3" t="str">
        <f t="shared" si="44"/>
        <v>0103</v>
      </c>
      <c r="B481" s="3" t="s">
        <v>13</v>
      </c>
      <c r="C481" s="3" t="str">
        <f>"张波"</f>
        <v>张波</v>
      </c>
      <c r="D481" s="3" t="str">
        <f>"男"</f>
        <v>男</v>
      </c>
      <c r="E481" s="3" t="str">
        <f>"2507011802"</f>
        <v>2507011802</v>
      </c>
      <c r="F481" s="3" t="str">
        <f t="shared" si="47"/>
        <v>18</v>
      </c>
      <c r="G481" s="4" t="str">
        <f>"02"</f>
        <v>02</v>
      </c>
      <c r="H481" s="5">
        <v>0</v>
      </c>
      <c r="I481" s="3" t="s">
        <v>11</v>
      </c>
    </row>
    <row r="482" customHeight="1" spans="1:9">
      <c r="A482" s="3" t="str">
        <f t="shared" si="44"/>
        <v>0103</v>
      </c>
      <c r="B482" s="3" t="s">
        <v>13</v>
      </c>
      <c r="C482" s="3" t="str">
        <f>"汤雅雯"</f>
        <v>汤雅雯</v>
      </c>
      <c r="D482" s="3" t="str">
        <f>"女"</f>
        <v>女</v>
      </c>
      <c r="E482" s="3" t="str">
        <f>"2507011803"</f>
        <v>2507011803</v>
      </c>
      <c r="F482" s="3" t="str">
        <f t="shared" si="47"/>
        <v>18</v>
      </c>
      <c r="G482" s="4" t="str">
        <f>"03"</f>
        <v>03</v>
      </c>
      <c r="H482" s="5">
        <v>25.2</v>
      </c>
      <c r="I482" s="3"/>
    </row>
    <row r="483" customHeight="1" spans="1:9">
      <c r="A483" s="3" t="str">
        <f t="shared" si="44"/>
        <v>0103</v>
      </c>
      <c r="B483" s="3" t="s">
        <v>13</v>
      </c>
      <c r="C483" s="3" t="str">
        <f>"李源"</f>
        <v>李源</v>
      </c>
      <c r="D483" s="3" t="str">
        <f>"男"</f>
        <v>男</v>
      </c>
      <c r="E483" s="3" t="str">
        <f>"2507011804"</f>
        <v>2507011804</v>
      </c>
      <c r="F483" s="3" t="str">
        <f t="shared" si="47"/>
        <v>18</v>
      </c>
      <c r="G483" s="4" t="str">
        <f>"04"</f>
        <v>04</v>
      </c>
      <c r="H483" s="5">
        <v>55.7</v>
      </c>
      <c r="I483" s="3"/>
    </row>
    <row r="484" customHeight="1" spans="1:9">
      <c r="A484" s="3" t="str">
        <f t="shared" si="44"/>
        <v>0103</v>
      </c>
      <c r="B484" s="3" t="s">
        <v>13</v>
      </c>
      <c r="C484" s="3" t="str">
        <f>"宋佳怡"</f>
        <v>宋佳怡</v>
      </c>
      <c r="D484" s="3" t="str">
        <f t="shared" ref="D484:D492" si="48">"女"</f>
        <v>女</v>
      </c>
      <c r="E484" s="3" t="str">
        <f>"2507011805"</f>
        <v>2507011805</v>
      </c>
      <c r="F484" s="3" t="str">
        <f t="shared" si="47"/>
        <v>18</v>
      </c>
      <c r="G484" s="4" t="str">
        <f>"05"</f>
        <v>05</v>
      </c>
      <c r="H484" s="5">
        <v>58.5</v>
      </c>
      <c r="I484" s="3"/>
    </row>
    <row r="485" customHeight="1" spans="1:9">
      <c r="A485" s="3" t="str">
        <f t="shared" si="44"/>
        <v>0103</v>
      </c>
      <c r="B485" s="3" t="s">
        <v>13</v>
      </c>
      <c r="C485" s="3" t="str">
        <f>"邢雨娴"</f>
        <v>邢雨娴</v>
      </c>
      <c r="D485" s="3" t="str">
        <f t="shared" si="48"/>
        <v>女</v>
      </c>
      <c r="E485" s="3" t="str">
        <f>"2507011806"</f>
        <v>2507011806</v>
      </c>
      <c r="F485" s="3" t="str">
        <f t="shared" si="47"/>
        <v>18</v>
      </c>
      <c r="G485" s="4" t="str">
        <f>"06"</f>
        <v>06</v>
      </c>
      <c r="H485" s="5">
        <v>0</v>
      </c>
      <c r="I485" s="3" t="s">
        <v>11</v>
      </c>
    </row>
    <row r="486" customHeight="1" spans="1:9">
      <c r="A486" s="3" t="str">
        <f t="shared" si="44"/>
        <v>0103</v>
      </c>
      <c r="B486" s="3" t="s">
        <v>13</v>
      </c>
      <c r="C486" s="3" t="str">
        <f>"李妍"</f>
        <v>李妍</v>
      </c>
      <c r="D486" s="3" t="str">
        <f t="shared" si="48"/>
        <v>女</v>
      </c>
      <c r="E486" s="3" t="str">
        <f>"2507011807"</f>
        <v>2507011807</v>
      </c>
      <c r="F486" s="3" t="str">
        <f t="shared" si="47"/>
        <v>18</v>
      </c>
      <c r="G486" s="4" t="str">
        <f>"07"</f>
        <v>07</v>
      </c>
      <c r="H486" s="5">
        <v>55.6</v>
      </c>
      <c r="I486" s="3"/>
    </row>
    <row r="487" customHeight="1" spans="1:9">
      <c r="A487" s="3" t="str">
        <f t="shared" si="44"/>
        <v>0103</v>
      </c>
      <c r="B487" s="3" t="s">
        <v>13</v>
      </c>
      <c r="C487" s="3" t="str">
        <f>"刘思启"</f>
        <v>刘思启</v>
      </c>
      <c r="D487" s="3" t="str">
        <f t="shared" si="48"/>
        <v>女</v>
      </c>
      <c r="E487" s="3" t="str">
        <f>"2507011808"</f>
        <v>2507011808</v>
      </c>
      <c r="F487" s="3" t="str">
        <f t="shared" si="47"/>
        <v>18</v>
      </c>
      <c r="G487" s="4" t="str">
        <f>"08"</f>
        <v>08</v>
      </c>
      <c r="H487" s="5">
        <v>0</v>
      </c>
      <c r="I487" s="3" t="s">
        <v>11</v>
      </c>
    </row>
    <row r="488" customHeight="1" spans="1:9">
      <c r="A488" s="3" t="str">
        <f t="shared" si="44"/>
        <v>0103</v>
      </c>
      <c r="B488" s="3" t="s">
        <v>13</v>
      </c>
      <c r="C488" s="3" t="str">
        <f>"李菁菁"</f>
        <v>李菁菁</v>
      </c>
      <c r="D488" s="3" t="str">
        <f t="shared" si="48"/>
        <v>女</v>
      </c>
      <c r="E488" s="3" t="str">
        <f>"2507011809"</f>
        <v>2507011809</v>
      </c>
      <c r="F488" s="3" t="str">
        <f t="shared" si="47"/>
        <v>18</v>
      </c>
      <c r="G488" s="4" t="str">
        <f>"09"</f>
        <v>09</v>
      </c>
      <c r="H488" s="5">
        <v>63.4</v>
      </c>
      <c r="I488" s="3"/>
    </row>
    <row r="489" customHeight="1" spans="1:9">
      <c r="A489" s="3" t="str">
        <f t="shared" si="44"/>
        <v>0103</v>
      </c>
      <c r="B489" s="3" t="s">
        <v>13</v>
      </c>
      <c r="C489" s="3" t="str">
        <f>"赫明妍"</f>
        <v>赫明妍</v>
      </c>
      <c r="D489" s="3" t="str">
        <f t="shared" si="48"/>
        <v>女</v>
      </c>
      <c r="E489" s="3" t="str">
        <f>"2507011810"</f>
        <v>2507011810</v>
      </c>
      <c r="F489" s="3" t="str">
        <f t="shared" si="47"/>
        <v>18</v>
      </c>
      <c r="G489" s="4" t="str">
        <f>"10"</f>
        <v>10</v>
      </c>
      <c r="H489" s="5">
        <v>53.8</v>
      </c>
      <c r="I489" s="3"/>
    </row>
    <row r="490" customHeight="1" spans="1:9">
      <c r="A490" s="3" t="str">
        <f t="shared" si="44"/>
        <v>0103</v>
      </c>
      <c r="B490" s="3" t="s">
        <v>13</v>
      </c>
      <c r="C490" s="3" t="str">
        <f>"王谨宜"</f>
        <v>王谨宜</v>
      </c>
      <c r="D490" s="3" t="str">
        <f t="shared" si="48"/>
        <v>女</v>
      </c>
      <c r="E490" s="3" t="str">
        <f>"2507011811"</f>
        <v>2507011811</v>
      </c>
      <c r="F490" s="3" t="str">
        <f t="shared" si="47"/>
        <v>18</v>
      </c>
      <c r="G490" s="4" t="str">
        <f>"11"</f>
        <v>11</v>
      </c>
      <c r="H490" s="5">
        <v>0</v>
      </c>
      <c r="I490" s="3" t="s">
        <v>11</v>
      </c>
    </row>
    <row r="491" customHeight="1" spans="1:9">
      <c r="A491" s="3" t="str">
        <f t="shared" si="44"/>
        <v>0103</v>
      </c>
      <c r="B491" s="3" t="s">
        <v>13</v>
      </c>
      <c r="C491" s="3" t="str">
        <f>"田明"</f>
        <v>田明</v>
      </c>
      <c r="D491" s="3" t="str">
        <f t="shared" si="48"/>
        <v>女</v>
      </c>
      <c r="E491" s="3" t="str">
        <f>"2507011812"</f>
        <v>2507011812</v>
      </c>
      <c r="F491" s="3" t="str">
        <f t="shared" si="47"/>
        <v>18</v>
      </c>
      <c r="G491" s="4" t="str">
        <f>"12"</f>
        <v>12</v>
      </c>
      <c r="H491" s="5">
        <v>0</v>
      </c>
      <c r="I491" s="3" t="s">
        <v>11</v>
      </c>
    </row>
    <row r="492" customHeight="1" spans="1:9">
      <c r="A492" s="3" t="str">
        <f t="shared" si="44"/>
        <v>0103</v>
      </c>
      <c r="B492" s="3" t="s">
        <v>13</v>
      </c>
      <c r="C492" s="3" t="str">
        <f>"张迪"</f>
        <v>张迪</v>
      </c>
      <c r="D492" s="3" t="str">
        <f t="shared" si="48"/>
        <v>女</v>
      </c>
      <c r="E492" s="3" t="str">
        <f>"2507011813"</f>
        <v>2507011813</v>
      </c>
      <c r="F492" s="3" t="str">
        <f t="shared" si="47"/>
        <v>18</v>
      </c>
      <c r="G492" s="4" t="str">
        <f>"13"</f>
        <v>13</v>
      </c>
      <c r="H492" s="5">
        <v>20</v>
      </c>
      <c r="I492" s="3"/>
    </row>
    <row r="493" customHeight="1" spans="1:9">
      <c r="A493" s="3" t="str">
        <f t="shared" si="44"/>
        <v>0103</v>
      </c>
      <c r="B493" s="3" t="s">
        <v>13</v>
      </c>
      <c r="C493" s="3" t="str">
        <f>"李泽华"</f>
        <v>李泽华</v>
      </c>
      <c r="D493" s="3" t="str">
        <f>"男"</f>
        <v>男</v>
      </c>
      <c r="E493" s="3" t="str">
        <f>"2507011814"</f>
        <v>2507011814</v>
      </c>
      <c r="F493" s="3" t="str">
        <f t="shared" si="47"/>
        <v>18</v>
      </c>
      <c r="G493" s="4" t="str">
        <f>"14"</f>
        <v>14</v>
      </c>
      <c r="H493" s="5">
        <v>42.7</v>
      </c>
      <c r="I493" s="3"/>
    </row>
    <row r="494" customHeight="1" spans="1:9">
      <c r="A494" s="3" t="str">
        <f t="shared" si="44"/>
        <v>0103</v>
      </c>
      <c r="B494" s="3" t="s">
        <v>13</v>
      </c>
      <c r="C494" s="3" t="str">
        <f>"崔晓燕"</f>
        <v>崔晓燕</v>
      </c>
      <c r="D494" s="3" t="str">
        <f t="shared" ref="D494:D505" si="49">"女"</f>
        <v>女</v>
      </c>
      <c r="E494" s="3" t="str">
        <f>"2507011815"</f>
        <v>2507011815</v>
      </c>
      <c r="F494" s="3" t="str">
        <f t="shared" si="47"/>
        <v>18</v>
      </c>
      <c r="G494" s="4" t="str">
        <f>"15"</f>
        <v>15</v>
      </c>
      <c r="H494" s="5">
        <v>0</v>
      </c>
      <c r="I494" s="3" t="s">
        <v>11</v>
      </c>
    </row>
    <row r="495" customHeight="1" spans="1:9">
      <c r="A495" s="3" t="str">
        <f t="shared" si="44"/>
        <v>0103</v>
      </c>
      <c r="B495" s="3" t="s">
        <v>13</v>
      </c>
      <c r="C495" s="3" t="str">
        <f>"杨梅"</f>
        <v>杨梅</v>
      </c>
      <c r="D495" s="3" t="str">
        <f t="shared" si="49"/>
        <v>女</v>
      </c>
      <c r="E495" s="3" t="str">
        <f>"2507011816"</f>
        <v>2507011816</v>
      </c>
      <c r="F495" s="3" t="str">
        <f t="shared" si="47"/>
        <v>18</v>
      </c>
      <c r="G495" s="4" t="str">
        <f>"16"</f>
        <v>16</v>
      </c>
      <c r="H495" s="5">
        <v>45.8</v>
      </c>
      <c r="I495" s="3"/>
    </row>
    <row r="496" customHeight="1" spans="1:9">
      <c r="A496" s="3" t="str">
        <f t="shared" si="44"/>
        <v>0103</v>
      </c>
      <c r="B496" s="3" t="s">
        <v>13</v>
      </c>
      <c r="C496" s="3" t="str">
        <f>"王訾晴"</f>
        <v>王訾晴</v>
      </c>
      <c r="D496" s="3" t="str">
        <f t="shared" si="49"/>
        <v>女</v>
      </c>
      <c r="E496" s="3" t="str">
        <f>"2507011817"</f>
        <v>2507011817</v>
      </c>
      <c r="F496" s="3" t="str">
        <f t="shared" si="47"/>
        <v>18</v>
      </c>
      <c r="G496" s="4" t="str">
        <f>"17"</f>
        <v>17</v>
      </c>
      <c r="H496" s="5">
        <v>55.8</v>
      </c>
      <c r="I496" s="3"/>
    </row>
    <row r="497" customHeight="1" spans="1:9">
      <c r="A497" s="3" t="str">
        <f t="shared" si="44"/>
        <v>0103</v>
      </c>
      <c r="B497" s="3" t="s">
        <v>13</v>
      </c>
      <c r="C497" s="3" t="str">
        <f>"高雯雯"</f>
        <v>高雯雯</v>
      </c>
      <c r="D497" s="3" t="str">
        <f t="shared" si="49"/>
        <v>女</v>
      </c>
      <c r="E497" s="3" t="str">
        <f>"2507011818"</f>
        <v>2507011818</v>
      </c>
      <c r="F497" s="3" t="str">
        <f t="shared" si="47"/>
        <v>18</v>
      </c>
      <c r="G497" s="4" t="str">
        <f>"18"</f>
        <v>18</v>
      </c>
      <c r="H497" s="5">
        <v>0</v>
      </c>
      <c r="I497" s="3" t="s">
        <v>11</v>
      </c>
    </row>
    <row r="498" customHeight="1" spans="1:9">
      <c r="A498" s="3" t="str">
        <f t="shared" si="44"/>
        <v>0103</v>
      </c>
      <c r="B498" s="3" t="s">
        <v>13</v>
      </c>
      <c r="C498" s="3" t="str">
        <f>"王翠"</f>
        <v>王翠</v>
      </c>
      <c r="D498" s="3" t="str">
        <f t="shared" si="49"/>
        <v>女</v>
      </c>
      <c r="E498" s="3" t="str">
        <f>"2507011819"</f>
        <v>2507011819</v>
      </c>
      <c r="F498" s="3" t="str">
        <f t="shared" si="47"/>
        <v>18</v>
      </c>
      <c r="G498" s="4" t="str">
        <f>"19"</f>
        <v>19</v>
      </c>
      <c r="H498" s="5">
        <v>0</v>
      </c>
      <c r="I498" s="3" t="s">
        <v>11</v>
      </c>
    </row>
    <row r="499" customHeight="1" spans="1:9">
      <c r="A499" s="3" t="str">
        <f t="shared" si="44"/>
        <v>0103</v>
      </c>
      <c r="B499" s="3" t="s">
        <v>13</v>
      </c>
      <c r="C499" s="3" t="str">
        <f>"周金宝"</f>
        <v>周金宝</v>
      </c>
      <c r="D499" s="3" t="str">
        <f t="shared" si="49"/>
        <v>女</v>
      </c>
      <c r="E499" s="3" t="str">
        <f>"2507011820"</f>
        <v>2507011820</v>
      </c>
      <c r="F499" s="3" t="str">
        <f t="shared" si="47"/>
        <v>18</v>
      </c>
      <c r="G499" s="4" t="str">
        <f>"20"</f>
        <v>20</v>
      </c>
      <c r="H499" s="5">
        <v>59.9</v>
      </c>
      <c r="I499" s="3"/>
    </row>
    <row r="500" customHeight="1" spans="1:9">
      <c r="A500" s="3" t="str">
        <f t="shared" si="44"/>
        <v>0103</v>
      </c>
      <c r="B500" s="3" t="s">
        <v>13</v>
      </c>
      <c r="C500" s="3" t="str">
        <f>"厉欣欣"</f>
        <v>厉欣欣</v>
      </c>
      <c r="D500" s="3" t="str">
        <f t="shared" si="49"/>
        <v>女</v>
      </c>
      <c r="E500" s="3" t="str">
        <f>"2507011821"</f>
        <v>2507011821</v>
      </c>
      <c r="F500" s="3" t="str">
        <f t="shared" si="47"/>
        <v>18</v>
      </c>
      <c r="G500" s="4" t="str">
        <f>"21"</f>
        <v>21</v>
      </c>
      <c r="H500" s="5">
        <v>42.3</v>
      </c>
      <c r="I500" s="3"/>
    </row>
    <row r="501" customHeight="1" spans="1:9">
      <c r="A501" s="3" t="str">
        <f t="shared" si="44"/>
        <v>0103</v>
      </c>
      <c r="B501" s="3" t="s">
        <v>13</v>
      </c>
      <c r="C501" s="3" t="str">
        <f>"王蕊"</f>
        <v>王蕊</v>
      </c>
      <c r="D501" s="3" t="str">
        <f t="shared" si="49"/>
        <v>女</v>
      </c>
      <c r="E501" s="3" t="str">
        <f>"2507011822"</f>
        <v>2507011822</v>
      </c>
      <c r="F501" s="3" t="str">
        <f t="shared" si="47"/>
        <v>18</v>
      </c>
      <c r="G501" s="4" t="str">
        <f>"22"</f>
        <v>22</v>
      </c>
      <c r="H501" s="5">
        <v>0</v>
      </c>
      <c r="I501" s="3" t="s">
        <v>11</v>
      </c>
    </row>
    <row r="502" customHeight="1" spans="1:9">
      <c r="A502" s="3" t="str">
        <f t="shared" si="44"/>
        <v>0103</v>
      </c>
      <c r="B502" s="3" t="s">
        <v>13</v>
      </c>
      <c r="C502" s="3" t="str">
        <f>"刘婷婷"</f>
        <v>刘婷婷</v>
      </c>
      <c r="D502" s="3" t="str">
        <f t="shared" si="49"/>
        <v>女</v>
      </c>
      <c r="E502" s="3" t="str">
        <f>"2507011823"</f>
        <v>2507011823</v>
      </c>
      <c r="F502" s="3" t="str">
        <f t="shared" si="47"/>
        <v>18</v>
      </c>
      <c r="G502" s="4" t="str">
        <f>"23"</f>
        <v>23</v>
      </c>
      <c r="H502" s="5">
        <v>0</v>
      </c>
      <c r="I502" s="3" t="s">
        <v>11</v>
      </c>
    </row>
    <row r="503" customHeight="1" spans="1:9">
      <c r="A503" s="3" t="str">
        <f t="shared" si="44"/>
        <v>0103</v>
      </c>
      <c r="B503" s="3" t="s">
        <v>13</v>
      </c>
      <c r="C503" s="3" t="str">
        <f>"陈思宇"</f>
        <v>陈思宇</v>
      </c>
      <c r="D503" s="3" t="str">
        <f t="shared" si="49"/>
        <v>女</v>
      </c>
      <c r="E503" s="3" t="str">
        <f>"2507011824"</f>
        <v>2507011824</v>
      </c>
      <c r="F503" s="3" t="str">
        <f t="shared" si="47"/>
        <v>18</v>
      </c>
      <c r="G503" s="4" t="str">
        <f>"24"</f>
        <v>24</v>
      </c>
      <c r="H503" s="5">
        <v>60.7</v>
      </c>
      <c r="I503" s="3"/>
    </row>
    <row r="504" customHeight="1" spans="1:9">
      <c r="A504" s="3" t="str">
        <f t="shared" si="44"/>
        <v>0103</v>
      </c>
      <c r="B504" s="3" t="s">
        <v>13</v>
      </c>
      <c r="C504" s="3" t="str">
        <f>"张瑶"</f>
        <v>张瑶</v>
      </c>
      <c r="D504" s="3" t="str">
        <f t="shared" si="49"/>
        <v>女</v>
      </c>
      <c r="E504" s="3" t="str">
        <f>"2507011825"</f>
        <v>2507011825</v>
      </c>
      <c r="F504" s="3" t="str">
        <f t="shared" si="47"/>
        <v>18</v>
      </c>
      <c r="G504" s="4" t="str">
        <f>"25"</f>
        <v>25</v>
      </c>
      <c r="H504" s="5">
        <v>0</v>
      </c>
      <c r="I504" s="3" t="s">
        <v>11</v>
      </c>
    </row>
    <row r="505" customHeight="1" spans="1:9">
      <c r="A505" s="3" t="str">
        <f t="shared" si="44"/>
        <v>0103</v>
      </c>
      <c r="B505" s="3" t="s">
        <v>13</v>
      </c>
      <c r="C505" s="3" t="str">
        <f>"潘越"</f>
        <v>潘越</v>
      </c>
      <c r="D505" s="3" t="str">
        <f t="shared" si="49"/>
        <v>女</v>
      </c>
      <c r="E505" s="3" t="str">
        <f>"2507011826"</f>
        <v>2507011826</v>
      </c>
      <c r="F505" s="3" t="str">
        <f t="shared" si="47"/>
        <v>18</v>
      </c>
      <c r="G505" s="4" t="str">
        <f>"26"</f>
        <v>26</v>
      </c>
      <c r="H505" s="5">
        <v>0</v>
      </c>
      <c r="I505" s="3" t="s">
        <v>11</v>
      </c>
    </row>
    <row r="506" customHeight="1" spans="1:9">
      <c r="A506" s="3" t="str">
        <f t="shared" si="44"/>
        <v>0103</v>
      </c>
      <c r="B506" s="3" t="s">
        <v>13</v>
      </c>
      <c r="C506" s="3" t="str">
        <f>"朱腾"</f>
        <v>朱腾</v>
      </c>
      <c r="D506" s="3" t="str">
        <f>"男"</f>
        <v>男</v>
      </c>
      <c r="E506" s="3" t="str">
        <f>"2507011827"</f>
        <v>2507011827</v>
      </c>
      <c r="F506" s="3" t="str">
        <f t="shared" si="47"/>
        <v>18</v>
      </c>
      <c r="G506" s="4" t="str">
        <f>"27"</f>
        <v>27</v>
      </c>
      <c r="H506" s="5">
        <v>53.1</v>
      </c>
      <c r="I506" s="3"/>
    </row>
    <row r="507" customHeight="1" spans="1:9">
      <c r="A507" s="3" t="str">
        <f t="shared" si="44"/>
        <v>0103</v>
      </c>
      <c r="B507" s="3" t="s">
        <v>13</v>
      </c>
      <c r="C507" s="3" t="str">
        <f>"钱建玲"</f>
        <v>钱建玲</v>
      </c>
      <c r="D507" s="3" t="str">
        <f t="shared" ref="D507:D513" si="50">"女"</f>
        <v>女</v>
      </c>
      <c r="E507" s="3" t="str">
        <f>"2507011828"</f>
        <v>2507011828</v>
      </c>
      <c r="F507" s="3" t="str">
        <f t="shared" si="47"/>
        <v>18</v>
      </c>
      <c r="G507" s="4" t="str">
        <f>"28"</f>
        <v>28</v>
      </c>
      <c r="H507" s="5">
        <v>0</v>
      </c>
      <c r="I507" s="3" t="s">
        <v>11</v>
      </c>
    </row>
    <row r="508" customHeight="1" spans="1:9">
      <c r="A508" s="3" t="str">
        <f t="shared" si="44"/>
        <v>0103</v>
      </c>
      <c r="B508" s="3" t="s">
        <v>13</v>
      </c>
      <c r="C508" s="3" t="str">
        <f>"褚红雪"</f>
        <v>褚红雪</v>
      </c>
      <c r="D508" s="3" t="str">
        <f t="shared" si="50"/>
        <v>女</v>
      </c>
      <c r="E508" s="3" t="str">
        <f>"2507011829"</f>
        <v>2507011829</v>
      </c>
      <c r="F508" s="3" t="str">
        <f t="shared" si="47"/>
        <v>18</v>
      </c>
      <c r="G508" s="4" t="str">
        <f>"29"</f>
        <v>29</v>
      </c>
      <c r="H508" s="5">
        <v>31.8</v>
      </c>
      <c r="I508" s="3"/>
    </row>
    <row r="509" customHeight="1" spans="1:9">
      <c r="A509" s="3" t="str">
        <f t="shared" si="44"/>
        <v>0103</v>
      </c>
      <c r="B509" s="3" t="s">
        <v>13</v>
      </c>
      <c r="C509" s="3" t="str">
        <f>"夏丹丹"</f>
        <v>夏丹丹</v>
      </c>
      <c r="D509" s="3" t="str">
        <f t="shared" si="50"/>
        <v>女</v>
      </c>
      <c r="E509" s="3" t="str">
        <f>"2507011830"</f>
        <v>2507011830</v>
      </c>
      <c r="F509" s="3" t="str">
        <f t="shared" si="47"/>
        <v>18</v>
      </c>
      <c r="G509" s="4" t="str">
        <f>"30"</f>
        <v>30</v>
      </c>
      <c r="H509" s="5">
        <v>60.9</v>
      </c>
      <c r="I509" s="3"/>
    </row>
    <row r="510" customHeight="1" spans="1:9">
      <c r="A510" s="3" t="str">
        <f t="shared" si="44"/>
        <v>0103</v>
      </c>
      <c r="B510" s="3" t="s">
        <v>13</v>
      </c>
      <c r="C510" s="3" t="str">
        <f>"刘燕"</f>
        <v>刘燕</v>
      </c>
      <c r="D510" s="3" t="str">
        <f t="shared" si="50"/>
        <v>女</v>
      </c>
      <c r="E510" s="3" t="str">
        <f>"2507011901"</f>
        <v>2507011901</v>
      </c>
      <c r="F510" s="3" t="str">
        <f t="shared" ref="F510:F539" si="51">"19"</f>
        <v>19</v>
      </c>
      <c r="G510" s="4" t="str">
        <f>"01"</f>
        <v>01</v>
      </c>
      <c r="H510" s="5">
        <v>25</v>
      </c>
      <c r="I510" s="3"/>
    </row>
    <row r="511" customHeight="1" spans="1:9">
      <c r="A511" s="3" t="str">
        <f t="shared" si="44"/>
        <v>0103</v>
      </c>
      <c r="B511" s="3" t="s">
        <v>13</v>
      </c>
      <c r="C511" s="3" t="str">
        <f>"田森"</f>
        <v>田森</v>
      </c>
      <c r="D511" s="3" t="str">
        <f t="shared" si="50"/>
        <v>女</v>
      </c>
      <c r="E511" s="3" t="str">
        <f>"2507011902"</f>
        <v>2507011902</v>
      </c>
      <c r="F511" s="3" t="str">
        <f t="shared" si="51"/>
        <v>19</v>
      </c>
      <c r="G511" s="4" t="str">
        <f>"02"</f>
        <v>02</v>
      </c>
      <c r="H511" s="5">
        <v>32.6</v>
      </c>
      <c r="I511" s="3"/>
    </row>
    <row r="512" customHeight="1" spans="1:9">
      <c r="A512" s="3" t="str">
        <f t="shared" si="44"/>
        <v>0103</v>
      </c>
      <c r="B512" s="3" t="s">
        <v>13</v>
      </c>
      <c r="C512" s="3" t="str">
        <f>"陈昕羽"</f>
        <v>陈昕羽</v>
      </c>
      <c r="D512" s="3" t="str">
        <f t="shared" si="50"/>
        <v>女</v>
      </c>
      <c r="E512" s="3" t="str">
        <f>"2507011903"</f>
        <v>2507011903</v>
      </c>
      <c r="F512" s="3" t="str">
        <f t="shared" si="51"/>
        <v>19</v>
      </c>
      <c r="G512" s="4" t="str">
        <f>"03"</f>
        <v>03</v>
      </c>
      <c r="H512" s="5">
        <v>69.2</v>
      </c>
      <c r="I512" s="3"/>
    </row>
    <row r="513" customHeight="1" spans="1:9">
      <c r="A513" s="3" t="str">
        <f t="shared" si="44"/>
        <v>0103</v>
      </c>
      <c r="B513" s="3" t="s">
        <v>13</v>
      </c>
      <c r="C513" s="3" t="str">
        <f>"王豪倩"</f>
        <v>王豪倩</v>
      </c>
      <c r="D513" s="3" t="str">
        <f t="shared" si="50"/>
        <v>女</v>
      </c>
      <c r="E513" s="3" t="str">
        <f>"2507011904"</f>
        <v>2507011904</v>
      </c>
      <c r="F513" s="3" t="str">
        <f t="shared" si="51"/>
        <v>19</v>
      </c>
      <c r="G513" s="4" t="str">
        <f>"04"</f>
        <v>04</v>
      </c>
      <c r="H513" s="5">
        <v>0</v>
      </c>
      <c r="I513" s="3" t="s">
        <v>11</v>
      </c>
    </row>
    <row r="514" customHeight="1" spans="1:9">
      <c r="A514" s="3" t="str">
        <f t="shared" ref="A514:A577" si="52">"0103"</f>
        <v>0103</v>
      </c>
      <c r="B514" s="3" t="s">
        <v>13</v>
      </c>
      <c r="C514" s="3" t="str">
        <f>"高姜栋"</f>
        <v>高姜栋</v>
      </c>
      <c r="D514" s="3" t="str">
        <f>"男"</f>
        <v>男</v>
      </c>
      <c r="E514" s="3" t="str">
        <f>"2507011905"</f>
        <v>2507011905</v>
      </c>
      <c r="F514" s="3" t="str">
        <f t="shared" si="51"/>
        <v>19</v>
      </c>
      <c r="G514" s="4" t="str">
        <f>"05"</f>
        <v>05</v>
      </c>
      <c r="H514" s="5">
        <v>0</v>
      </c>
      <c r="I514" s="3" t="s">
        <v>11</v>
      </c>
    </row>
    <row r="515" customHeight="1" spans="1:9">
      <c r="A515" s="3" t="str">
        <f t="shared" si="52"/>
        <v>0103</v>
      </c>
      <c r="B515" s="3" t="s">
        <v>13</v>
      </c>
      <c r="C515" s="3" t="str">
        <f>"赵鹏"</f>
        <v>赵鹏</v>
      </c>
      <c r="D515" s="3" t="str">
        <f>"男"</f>
        <v>男</v>
      </c>
      <c r="E515" s="3" t="str">
        <f>"2507011906"</f>
        <v>2507011906</v>
      </c>
      <c r="F515" s="3" t="str">
        <f t="shared" si="51"/>
        <v>19</v>
      </c>
      <c r="G515" s="4" t="str">
        <f>"06"</f>
        <v>06</v>
      </c>
      <c r="H515" s="5">
        <v>0</v>
      </c>
      <c r="I515" s="3" t="s">
        <v>11</v>
      </c>
    </row>
    <row r="516" customHeight="1" spans="1:9">
      <c r="A516" s="3" t="str">
        <f t="shared" si="52"/>
        <v>0103</v>
      </c>
      <c r="B516" s="3" t="s">
        <v>13</v>
      </c>
      <c r="C516" s="3" t="str">
        <f>"魏秋然"</f>
        <v>魏秋然</v>
      </c>
      <c r="D516" s="3" t="str">
        <f t="shared" ref="D516:D522" si="53">"女"</f>
        <v>女</v>
      </c>
      <c r="E516" s="3" t="str">
        <f>"2507011907"</f>
        <v>2507011907</v>
      </c>
      <c r="F516" s="3" t="str">
        <f t="shared" si="51"/>
        <v>19</v>
      </c>
      <c r="G516" s="4" t="str">
        <f>"07"</f>
        <v>07</v>
      </c>
      <c r="H516" s="5">
        <v>33.5</v>
      </c>
      <c r="I516" s="3"/>
    </row>
    <row r="517" customHeight="1" spans="1:9">
      <c r="A517" s="3" t="str">
        <f t="shared" si="52"/>
        <v>0103</v>
      </c>
      <c r="B517" s="3" t="s">
        <v>13</v>
      </c>
      <c r="C517" s="3" t="str">
        <f>"王远花"</f>
        <v>王远花</v>
      </c>
      <c r="D517" s="3" t="str">
        <f t="shared" si="53"/>
        <v>女</v>
      </c>
      <c r="E517" s="3" t="str">
        <f>"2507011908"</f>
        <v>2507011908</v>
      </c>
      <c r="F517" s="3" t="str">
        <f t="shared" si="51"/>
        <v>19</v>
      </c>
      <c r="G517" s="4" t="str">
        <f>"08"</f>
        <v>08</v>
      </c>
      <c r="H517" s="5">
        <v>43.4</v>
      </c>
      <c r="I517" s="3"/>
    </row>
    <row r="518" customHeight="1" spans="1:9">
      <c r="A518" s="3" t="str">
        <f t="shared" si="52"/>
        <v>0103</v>
      </c>
      <c r="B518" s="3" t="s">
        <v>13</v>
      </c>
      <c r="C518" s="3" t="str">
        <f>"李晶"</f>
        <v>李晶</v>
      </c>
      <c r="D518" s="3" t="str">
        <f t="shared" si="53"/>
        <v>女</v>
      </c>
      <c r="E518" s="3" t="str">
        <f>"2507011909"</f>
        <v>2507011909</v>
      </c>
      <c r="F518" s="3" t="str">
        <f t="shared" si="51"/>
        <v>19</v>
      </c>
      <c r="G518" s="4" t="str">
        <f>"09"</f>
        <v>09</v>
      </c>
      <c r="H518" s="5">
        <v>0</v>
      </c>
      <c r="I518" s="3" t="s">
        <v>11</v>
      </c>
    </row>
    <row r="519" customHeight="1" spans="1:9">
      <c r="A519" s="3" t="str">
        <f t="shared" si="52"/>
        <v>0103</v>
      </c>
      <c r="B519" s="3" t="s">
        <v>13</v>
      </c>
      <c r="C519" s="3" t="str">
        <f>"赵晨宇"</f>
        <v>赵晨宇</v>
      </c>
      <c r="D519" s="3" t="str">
        <f t="shared" si="53"/>
        <v>女</v>
      </c>
      <c r="E519" s="3" t="str">
        <f>"2507011910"</f>
        <v>2507011910</v>
      </c>
      <c r="F519" s="3" t="str">
        <f t="shared" si="51"/>
        <v>19</v>
      </c>
      <c r="G519" s="4" t="str">
        <f>"10"</f>
        <v>10</v>
      </c>
      <c r="H519" s="5">
        <v>31.7</v>
      </c>
      <c r="I519" s="3"/>
    </row>
    <row r="520" customHeight="1" spans="1:9">
      <c r="A520" s="3" t="str">
        <f t="shared" si="52"/>
        <v>0103</v>
      </c>
      <c r="B520" s="3" t="s">
        <v>13</v>
      </c>
      <c r="C520" s="3" t="str">
        <f>"吴佳桦"</f>
        <v>吴佳桦</v>
      </c>
      <c r="D520" s="3" t="str">
        <f t="shared" si="53"/>
        <v>女</v>
      </c>
      <c r="E520" s="3" t="str">
        <f>"2507011911"</f>
        <v>2507011911</v>
      </c>
      <c r="F520" s="3" t="str">
        <f t="shared" si="51"/>
        <v>19</v>
      </c>
      <c r="G520" s="4" t="str">
        <f>"11"</f>
        <v>11</v>
      </c>
      <c r="H520" s="5">
        <v>0</v>
      </c>
      <c r="I520" s="3" t="s">
        <v>11</v>
      </c>
    </row>
    <row r="521" customHeight="1" spans="1:9">
      <c r="A521" s="3" t="str">
        <f t="shared" si="52"/>
        <v>0103</v>
      </c>
      <c r="B521" s="3" t="s">
        <v>13</v>
      </c>
      <c r="C521" s="3" t="str">
        <f>"范晓静"</f>
        <v>范晓静</v>
      </c>
      <c r="D521" s="3" t="str">
        <f t="shared" si="53"/>
        <v>女</v>
      </c>
      <c r="E521" s="3" t="str">
        <f>"2507011912"</f>
        <v>2507011912</v>
      </c>
      <c r="F521" s="3" t="str">
        <f t="shared" si="51"/>
        <v>19</v>
      </c>
      <c r="G521" s="4" t="str">
        <f>"12"</f>
        <v>12</v>
      </c>
      <c r="H521" s="5">
        <v>0</v>
      </c>
      <c r="I521" s="3" t="s">
        <v>11</v>
      </c>
    </row>
    <row r="522" customHeight="1" spans="1:9">
      <c r="A522" s="3" t="str">
        <f t="shared" si="52"/>
        <v>0103</v>
      </c>
      <c r="B522" s="3" t="s">
        <v>13</v>
      </c>
      <c r="C522" s="3" t="str">
        <f>"李佳桐"</f>
        <v>李佳桐</v>
      </c>
      <c r="D522" s="3" t="str">
        <f t="shared" si="53"/>
        <v>女</v>
      </c>
      <c r="E522" s="3" t="str">
        <f>"2507011913"</f>
        <v>2507011913</v>
      </c>
      <c r="F522" s="3" t="str">
        <f t="shared" si="51"/>
        <v>19</v>
      </c>
      <c r="G522" s="4" t="str">
        <f>"13"</f>
        <v>13</v>
      </c>
      <c r="H522" s="5">
        <v>69.7</v>
      </c>
      <c r="I522" s="3"/>
    </row>
    <row r="523" customHeight="1" spans="1:9">
      <c r="A523" s="3" t="str">
        <f t="shared" si="52"/>
        <v>0103</v>
      </c>
      <c r="B523" s="3" t="s">
        <v>13</v>
      </c>
      <c r="C523" s="3" t="str">
        <f>"刘永亮"</f>
        <v>刘永亮</v>
      </c>
      <c r="D523" s="3" t="str">
        <f>"男"</f>
        <v>男</v>
      </c>
      <c r="E523" s="3" t="str">
        <f>"2507011914"</f>
        <v>2507011914</v>
      </c>
      <c r="F523" s="3" t="str">
        <f t="shared" si="51"/>
        <v>19</v>
      </c>
      <c r="G523" s="4" t="str">
        <f>"14"</f>
        <v>14</v>
      </c>
      <c r="H523" s="5">
        <v>21.3</v>
      </c>
      <c r="I523" s="3"/>
    </row>
    <row r="524" customHeight="1" spans="1:9">
      <c r="A524" s="3" t="str">
        <f t="shared" si="52"/>
        <v>0103</v>
      </c>
      <c r="B524" s="3" t="s">
        <v>13</v>
      </c>
      <c r="C524" s="3" t="str">
        <f>"袁孟林"</f>
        <v>袁孟林</v>
      </c>
      <c r="D524" s="3" t="str">
        <f>"男"</f>
        <v>男</v>
      </c>
      <c r="E524" s="3" t="str">
        <f>"2507011915"</f>
        <v>2507011915</v>
      </c>
      <c r="F524" s="3" t="str">
        <f t="shared" si="51"/>
        <v>19</v>
      </c>
      <c r="G524" s="4" t="str">
        <f>"15"</f>
        <v>15</v>
      </c>
      <c r="H524" s="5">
        <v>35.9</v>
      </c>
      <c r="I524" s="3"/>
    </row>
    <row r="525" customHeight="1" spans="1:9">
      <c r="A525" s="3" t="str">
        <f t="shared" si="52"/>
        <v>0103</v>
      </c>
      <c r="B525" s="3" t="s">
        <v>13</v>
      </c>
      <c r="C525" s="3" t="str">
        <f>"郑倩雯"</f>
        <v>郑倩雯</v>
      </c>
      <c r="D525" s="3" t="str">
        <f t="shared" ref="D525:D532" si="54">"女"</f>
        <v>女</v>
      </c>
      <c r="E525" s="3" t="str">
        <f>"2507011916"</f>
        <v>2507011916</v>
      </c>
      <c r="F525" s="3" t="str">
        <f t="shared" si="51"/>
        <v>19</v>
      </c>
      <c r="G525" s="4" t="str">
        <f>"16"</f>
        <v>16</v>
      </c>
      <c r="H525" s="5">
        <v>0</v>
      </c>
      <c r="I525" s="3" t="s">
        <v>11</v>
      </c>
    </row>
    <row r="526" customHeight="1" spans="1:9">
      <c r="A526" s="3" t="str">
        <f t="shared" si="52"/>
        <v>0103</v>
      </c>
      <c r="B526" s="3" t="s">
        <v>13</v>
      </c>
      <c r="C526" s="3" t="str">
        <f>"王艳"</f>
        <v>王艳</v>
      </c>
      <c r="D526" s="3" t="str">
        <f t="shared" si="54"/>
        <v>女</v>
      </c>
      <c r="E526" s="3" t="str">
        <f>"2507011917"</f>
        <v>2507011917</v>
      </c>
      <c r="F526" s="3" t="str">
        <f t="shared" si="51"/>
        <v>19</v>
      </c>
      <c r="G526" s="4" t="str">
        <f>"17"</f>
        <v>17</v>
      </c>
      <c r="H526" s="5">
        <v>0</v>
      </c>
      <c r="I526" s="3" t="s">
        <v>11</v>
      </c>
    </row>
    <row r="527" customHeight="1" spans="1:9">
      <c r="A527" s="3" t="str">
        <f t="shared" si="52"/>
        <v>0103</v>
      </c>
      <c r="B527" s="3" t="s">
        <v>13</v>
      </c>
      <c r="C527" s="3" t="str">
        <f>"王颖"</f>
        <v>王颖</v>
      </c>
      <c r="D527" s="3" t="str">
        <f t="shared" si="54"/>
        <v>女</v>
      </c>
      <c r="E527" s="3" t="str">
        <f>"2507011918"</f>
        <v>2507011918</v>
      </c>
      <c r="F527" s="3" t="str">
        <f t="shared" si="51"/>
        <v>19</v>
      </c>
      <c r="G527" s="4" t="str">
        <f>"18"</f>
        <v>18</v>
      </c>
      <c r="H527" s="5">
        <v>42.4</v>
      </c>
      <c r="I527" s="3"/>
    </row>
    <row r="528" customHeight="1" spans="1:9">
      <c r="A528" s="3" t="str">
        <f t="shared" si="52"/>
        <v>0103</v>
      </c>
      <c r="B528" s="3" t="s">
        <v>13</v>
      </c>
      <c r="C528" s="3" t="str">
        <f>"王世杰"</f>
        <v>王世杰</v>
      </c>
      <c r="D528" s="3" t="str">
        <f t="shared" si="54"/>
        <v>女</v>
      </c>
      <c r="E528" s="3" t="str">
        <f>"2507011919"</f>
        <v>2507011919</v>
      </c>
      <c r="F528" s="3" t="str">
        <f t="shared" si="51"/>
        <v>19</v>
      </c>
      <c r="G528" s="4" t="str">
        <f>"19"</f>
        <v>19</v>
      </c>
      <c r="H528" s="5">
        <v>27.8</v>
      </c>
      <c r="I528" s="3"/>
    </row>
    <row r="529" customHeight="1" spans="1:9">
      <c r="A529" s="3" t="str">
        <f t="shared" si="52"/>
        <v>0103</v>
      </c>
      <c r="B529" s="3" t="s">
        <v>13</v>
      </c>
      <c r="C529" s="3" t="str">
        <f>"张晓旭"</f>
        <v>张晓旭</v>
      </c>
      <c r="D529" s="3" t="str">
        <f t="shared" si="54"/>
        <v>女</v>
      </c>
      <c r="E529" s="3" t="str">
        <f>"2507011920"</f>
        <v>2507011920</v>
      </c>
      <c r="F529" s="3" t="str">
        <f t="shared" si="51"/>
        <v>19</v>
      </c>
      <c r="G529" s="4" t="str">
        <f>"20"</f>
        <v>20</v>
      </c>
      <c r="H529" s="5">
        <v>50.9</v>
      </c>
      <c r="I529" s="3"/>
    </row>
    <row r="530" customHeight="1" spans="1:9">
      <c r="A530" s="3" t="str">
        <f t="shared" si="52"/>
        <v>0103</v>
      </c>
      <c r="B530" s="3" t="s">
        <v>13</v>
      </c>
      <c r="C530" s="3" t="str">
        <f>"马瑞"</f>
        <v>马瑞</v>
      </c>
      <c r="D530" s="3" t="str">
        <f t="shared" si="54"/>
        <v>女</v>
      </c>
      <c r="E530" s="3" t="str">
        <f>"2507011921"</f>
        <v>2507011921</v>
      </c>
      <c r="F530" s="3" t="str">
        <f t="shared" si="51"/>
        <v>19</v>
      </c>
      <c r="G530" s="4" t="str">
        <f>"21"</f>
        <v>21</v>
      </c>
      <c r="H530" s="5">
        <v>21.4</v>
      </c>
      <c r="I530" s="3"/>
    </row>
    <row r="531" customHeight="1" spans="1:9">
      <c r="A531" s="3" t="str">
        <f t="shared" si="52"/>
        <v>0103</v>
      </c>
      <c r="B531" s="3" t="s">
        <v>13</v>
      </c>
      <c r="C531" s="3" t="str">
        <f>"仝翠"</f>
        <v>仝翠</v>
      </c>
      <c r="D531" s="3" t="str">
        <f t="shared" si="54"/>
        <v>女</v>
      </c>
      <c r="E531" s="3" t="str">
        <f>"2507011922"</f>
        <v>2507011922</v>
      </c>
      <c r="F531" s="3" t="str">
        <f t="shared" si="51"/>
        <v>19</v>
      </c>
      <c r="G531" s="4" t="str">
        <f>"22"</f>
        <v>22</v>
      </c>
      <c r="H531" s="5">
        <v>0</v>
      </c>
      <c r="I531" s="3" t="s">
        <v>11</v>
      </c>
    </row>
    <row r="532" customHeight="1" spans="1:9">
      <c r="A532" s="3" t="str">
        <f t="shared" si="52"/>
        <v>0103</v>
      </c>
      <c r="B532" s="3" t="s">
        <v>13</v>
      </c>
      <c r="C532" s="3" t="str">
        <f>"蔡心阳"</f>
        <v>蔡心阳</v>
      </c>
      <c r="D532" s="3" t="str">
        <f t="shared" si="54"/>
        <v>女</v>
      </c>
      <c r="E532" s="3" t="str">
        <f>"2507011923"</f>
        <v>2507011923</v>
      </c>
      <c r="F532" s="3" t="str">
        <f t="shared" si="51"/>
        <v>19</v>
      </c>
      <c r="G532" s="4" t="str">
        <f>"23"</f>
        <v>23</v>
      </c>
      <c r="H532" s="5">
        <v>61.5</v>
      </c>
      <c r="I532" s="3"/>
    </row>
    <row r="533" customHeight="1" spans="1:9">
      <c r="A533" s="3" t="str">
        <f t="shared" si="52"/>
        <v>0103</v>
      </c>
      <c r="B533" s="3" t="s">
        <v>13</v>
      </c>
      <c r="C533" s="3" t="str">
        <f>"蒋教伟"</f>
        <v>蒋教伟</v>
      </c>
      <c r="D533" s="3" t="str">
        <f>"男"</f>
        <v>男</v>
      </c>
      <c r="E533" s="3" t="str">
        <f>"2507011924"</f>
        <v>2507011924</v>
      </c>
      <c r="F533" s="3" t="str">
        <f t="shared" si="51"/>
        <v>19</v>
      </c>
      <c r="G533" s="4" t="str">
        <f>"24"</f>
        <v>24</v>
      </c>
      <c r="H533" s="5">
        <v>34</v>
      </c>
      <c r="I533" s="3"/>
    </row>
    <row r="534" customHeight="1" spans="1:9">
      <c r="A534" s="3" t="str">
        <f t="shared" si="52"/>
        <v>0103</v>
      </c>
      <c r="B534" s="3" t="s">
        <v>13</v>
      </c>
      <c r="C534" s="3" t="str">
        <f>"谢阳阳"</f>
        <v>谢阳阳</v>
      </c>
      <c r="D534" s="3" t="str">
        <f>"男"</f>
        <v>男</v>
      </c>
      <c r="E534" s="3" t="str">
        <f>"2507011925"</f>
        <v>2507011925</v>
      </c>
      <c r="F534" s="3" t="str">
        <f t="shared" si="51"/>
        <v>19</v>
      </c>
      <c r="G534" s="4" t="str">
        <f>"25"</f>
        <v>25</v>
      </c>
      <c r="H534" s="5">
        <v>71.2</v>
      </c>
      <c r="I534" s="3"/>
    </row>
    <row r="535" customHeight="1" spans="1:9">
      <c r="A535" s="3" t="str">
        <f t="shared" si="52"/>
        <v>0103</v>
      </c>
      <c r="B535" s="3" t="s">
        <v>13</v>
      </c>
      <c r="C535" s="3" t="str">
        <f>"岳珂"</f>
        <v>岳珂</v>
      </c>
      <c r="D535" s="3" t="str">
        <f>"女"</f>
        <v>女</v>
      </c>
      <c r="E535" s="3" t="str">
        <f>"2507011926"</f>
        <v>2507011926</v>
      </c>
      <c r="F535" s="3" t="str">
        <f t="shared" si="51"/>
        <v>19</v>
      </c>
      <c r="G535" s="4" t="str">
        <f>"26"</f>
        <v>26</v>
      </c>
      <c r="H535" s="5">
        <v>52.1</v>
      </c>
      <c r="I535" s="3"/>
    </row>
    <row r="536" customHeight="1" spans="1:9">
      <c r="A536" s="3" t="str">
        <f t="shared" si="52"/>
        <v>0103</v>
      </c>
      <c r="B536" s="3" t="s">
        <v>13</v>
      </c>
      <c r="C536" s="3" t="str">
        <f>"李前航"</f>
        <v>李前航</v>
      </c>
      <c r="D536" s="3" t="str">
        <f>"男"</f>
        <v>男</v>
      </c>
      <c r="E536" s="3" t="str">
        <f>"2507011927"</f>
        <v>2507011927</v>
      </c>
      <c r="F536" s="3" t="str">
        <f t="shared" si="51"/>
        <v>19</v>
      </c>
      <c r="G536" s="4" t="str">
        <f>"27"</f>
        <v>27</v>
      </c>
      <c r="H536" s="5">
        <v>0</v>
      </c>
      <c r="I536" s="3" t="s">
        <v>11</v>
      </c>
    </row>
    <row r="537" customHeight="1" spans="1:9">
      <c r="A537" s="3" t="str">
        <f t="shared" si="52"/>
        <v>0103</v>
      </c>
      <c r="B537" s="3" t="s">
        <v>13</v>
      </c>
      <c r="C537" s="3" t="str">
        <f>"许盛齐"</f>
        <v>许盛齐</v>
      </c>
      <c r="D537" s="3" t="str">
        <f>"男"</f>
        <v>男</v>
      </c>
      <c r="E537" s="3" t="str">
        <f>"2507011928"</f>
        <v>2507011928</v>
      </c>
      <c r="F537" s="3" t="str">
        <f t="shared" si="51"/>
        <v>19</v>
      </c>
      <c r="G537" s="4" t="str">
        <f>"28"</f>
        <v>28</v>
      </c>
      <c r="H537" s="5">
        <v>0</v>
      </c>
      <c r="I537" s="3" t="s">
        <v>11</v>
      </c>
    </row>
    <row r="538" customHeight="1" spans="1:9">
      <c r="A538" s="3" t="str">
        <f t="shared" si="52"/>
        <v>0103</v>
      </c>
      <c r="B538" s="3" t="s">
        <v>13</v>
      </c>
      <c r="C538" s="3" t="str">
        <f>"韩梦缘"</f>
        <v>韩梦缘</v>
      </c>
      <c r="D538" s="3" t="str">
        <f>"女"</f>
        <v>女</v>
      </c>
      <c r="E538" s="3" t="str">
        <f>"2507011929"</f>
        <v>2507011929</v>
      </c>
      <c r="F538" s="3" t="str">
        <f t="shared" si="51"/>
        <v>19</v>
      </c>
      <c r="G538" s="4" t="str">
        <f>"29"</f>
        <v>29</v>
      </c>
      <c r="H538" s="5">
        <v>44.9</v>
      </c>
      <c r="I538" s="3"/>
    </row>
    <row r="539" customHeight="1" spans="1:9">
      <c r="A539" s="3" t="str">
        <f t="shared" si="52"/>
        <v>0103</v>
      </c>
      <c r="B539" s="3" t="s">
        <v>13</v>
      </c>
      <c r="C539" s="3" t="str">
        <f>"刘超"</f>
        <v>刘超</v>
      </c>
      <c r="D539" s="3" t="str">
        <f>"男"</f>
        <v>男</v>
      </c>
      <c r="E539" s="3" t="str">
        <f>"2507011930"</f>
        <v>2507011930</v>
      </c>
      <c r="F539" s="3" t="str">
        <f t="shared" si="51"/>
        <v>19</v>
      </c>
      <c r="G539" s="4" t="str">
        <f>"30"</f>
        <v>30</v>
      </c>
      <c r="H539" s="5">
        <v>42</v>
      </c>
      <c r="I539" s="3"/>
    </row>
    <row r="540" customHeight="1" spans="1:9">
      <c r="A540" s="3" t="str">
        <f t="shared" si="52"/>
        <v>0103</v>
      </c>
      <c r="B540" s="3" t="s">
        <v>13</v>
      </c>
      <c r="C540" s="3" t="str">
        <f>"吴尚"</f>
        <v>吴尚</v>
      </c>
      <c r="D540" s="3" t="str">
        <f>"女"</f>
        <v>女</v>
      </c>
      <c r="E540" s="3" t="str">
        <f>"2507012001"</f>
        <v>2507012001</v>
      </c>
      <c r="F540" s="3" t="str">
        <f t="shared" ref="F540:F570" si="55">"20"</f>
        <v>20</v>
      </c>
      <c r="G540" s="4" t="str">
        <f>"01"</f>
        <v>01</v>
      </c>
      <c r="H540" s="5">
        <v>29</v>
      </c>
      <c r="I540" s="3"/>
    </row>
    <row r="541" customHeight="1" spans="1:9">
      <c r="A541" s="3" t="str">
        <f t="shared" si="52"/>
        <v>0103</v>
      </c>
      <c r="B541" s="3" t="s">
        <v>13</v>
      </c>
      <c r="C541" s="3" t="str">
        <f>"唐羲晨"</f>
        <v>唐羲晨</v>
      </c>
      <c r="D541" s="3" t="str">
        <f>"男"</f>
        <v>男</v>
      </c>
      <c r="E541" s="3" t="str">
        <f>"2507012002"</f>
        <v>2507012002</v>
      </c>
      <c r="F541" s="3" t="str">
        <f t="shared" si="55"/>
        <v>20</v>
      </c>
      <c r="G541" s="4" t="str">
        <f>"02"</f>
        <v>02</v>
      </c>
      <c r="H541" s="5">
        <v>0</v>
      </c>
      <c r="I541" s="3" t="s">
        <v>11</v>
      </c>
    </row>
    <row r="542" customHeight="1" spans="1:9">
      <c r="A542" s="3" t="str">
        <f t="shared" si="52"/>
        <v>0103</v>
      </c>
      <c r="B542" s="3" t="s">
        <v>13</v>
      </c>
      <c r="C542" s="3" t="str">
        <f>"丁友为"</f>
        <v>丁友为</v>
      </c>
      <c r="D542" s="3" t="str">
        <f>"男"</f>
        <v>男</v>
      </c>
      <c r="E542" s="3" t="str">
        <f>"2507012003"</f>
        <v>2507012003</v>
      </c>
      <c r="F542" s="3" t="str">
        <f t="shared" si="55"/>
        <v>20</v>
      </c>
      <c r="G542" s="4" t="str">
        <f>"03"</f>
        <v>03</v>
      </c>
      <c r="H542" s="5">
        <v>44.7</v>
      </c>
      <c r="I542" s="3"/>
    </row>
    <row r="543" customHeight="1" spans="1:9">
      <c r="A543" s="3" t="str">
        <f t="shared" si="52"/>
        <v>0103</v>
      </c>
      <c r="B543" s="3" t="s">
        <v>13</v>
      </c>
      <c r="C543" s="3" t="str">
        <f>"胡瑞"</f>
        <v>胡瑞</v>
      </c>
      <c r="D543" s="3" t="str">
        <f>"女"</f>
        <v>女</v>
      </c>
      <c r="E543" s="3" t="str">
        <f>"2507012004"</f>
        <v>2507012004</v>
      </c>
      <c r="F543" s="3" t="str">
        <f t="shared" si="55"/>
        <v>20</v>
      </c>
      <c r="G543" s="4" t="str">
        <f>"04"</f>
        <v>04</v>
      </c>
      <c r="H543" s="5">
        <v>22.2</v>
      </c>
      <c r="I543" s="3"/>
    </row>
    <row r="544" customHeight="1" spans="1:9">
      <c r="A544" s="3" t="str">
        <f t="shared" si="52"/>
        <v>0103</v>
      </c>
      <c r="B544" s="3" t="s">
        <v>13</v>
      </c>
      <c r="C544" s="3" t="str">
        <f>"徐超"</f>
        <v>徐超</v>
      </c>
      <c r="D544" s="3" t="str">
        <f>"男"</f>
        <v>男</v>
      </c>
      <c r="E544" s="3" t="str">
        <f>"2507012005"</f>
        <v>2507012005</v>
      </c>
      <c r="F544" s="3" t="str">
        <f t="shared" si="55"/>
        <v>20</v>
      </c>
      <c r="G544" s="4" t="str">
        <f>"05"</f>
        <v>05</v>
      </c>
      <c r="H544" s="5">
        <v>61.9</v>
      </c>
      <c r="I544" s="3"/>
    </row>
    <row r="545" customHeight="1" spans="1:9">
      <c r="A545" s="3" t="str">
        <f t="shared" si="52"/>
        <v>0103</v>
      </c>
      <c r="B545" s="3" t="s">
        <v>13</v>
      </c>
      <c r="C545" s="3" t="str">
        <f>"李文华"</f>
        <v>李文华</v>
      </c>
      <c r="D545" s="3" t="str">
        <f t="shared" ref="D545:D552" si="56">"女"</f>
        <v>女</v>
      </c>
      <c r="E545" s="3" t="str">
        <f>"2507012006"</f>
        <v>2507012006</v>
      </c>
      <c r="F545" s="3" t="str">
        <f t="shared" si="55"/>
        <v>20</v>
      </c>
      <c r="G545" s="4" t="str">
        <f>"06"</f>
        <v>06</v>
      </c>
      <c r="H545" s="5">
        <v>34.3</v>
      </c>
      <c r="I545" s="3"/>
    </row>
    <row r="546" customHeight="1" spans="1:9">
      <c r="A546" s="3" t="str">
        <f t="shared" si="52"/>
        <v>0103</v>
      </c>
      <c r="B546" s="3" t="s">
        <v>13</v>
      </c>
      <c r="C546" s="3" t="str">
        <f>"龚丽莉"</f>
        <v>龚丽莉</v>
      </c>
      <c r="D546" s="3" t="str">
        <f t="shared" si="56"/>
        <v>女</v>
      </c>
      <c r="E546" s="3" t="str">
        <f>"2507012007"</f>
        <v>2507012007</v>
      </c>
      <c r="F546" s="3" t="str">
        <f t="shared" si="55"/>
        <v>20</v>
      </c>
      <c r="G546" s="4" t="str">
        <f>"07"</f>
        <v>07</v>
      </c>
      <c r="H546" s="5">
        <v>59.7</v>
      </c>
      <c r="I546" s="3"/>
    </row>
    <row r="547" customHeight="1" spans="1:9">
      <c r="A547" s="3" t="str">
        <f t="shared" si="52"/>
        <v>0103</v>
      </c>
      <c r="B547" s="3" t="s">
        <v>13</v>
      </c>
      <c r="C547" s="3" t="str">
        <f>"孟娟"</f>
        <v>孟娟</v>
      </c>
      <c r="D547" s="3" t="str">
        <f t="shared" si="56"/>
        <v>女</v>
      </c>
      <c r="E547" s="3" t="str">
        <f>"2507012008"</f>
        <v>2507012008</v>
      </c>
      <c r="F547" s="3" t="str">
        <f t="shared" si="55"/>
        <v>20</v>
      </c>
      <c r="G547" s="4" t="str">
        <f>"08"</f>
        <v>08</v>
      </c>
      <c r="H547" s="5">
        <v>38.9</v>
      </c>
      <c r="I547" s="3"/>
    </row>
    <row r="548" customHeight="1" spans="1:9">
      <c r="A548" s="3" t="str">
        <f t="shared" si="52"/>
        <v>0103</v>
      </c>
      <c r="B548" s="3" t="s">
        <v>13</v>
      </c>
      <c r="C548" s="3" t="str">
        <f>"谷丽亚"</f>
        <v>谷丽亚</v>
      </c>
      <c r="D548" s="3" t="str">
        <f t="shared" si="56"/>
        <v>女</v>
      </c>
      <c r="E548" s="3" t="str">
        <f>"2507012009"</f>
        <v>2507012009</v>
      </c>
      <c r="F548" s="3" t="str">
        <f t="shared" si="55"/>
        <v>20</v>
      </c>
      <c r="G548" s="4" t="str">
        <f>"09"</f>
        <v>09</v>
      </c>
      <c r="H548" s="5">
        <v>30.5</v>
      </c>
      <c r="I548" s="3"/>
    </row>
    <row r="549" customHeight="1" spans="1:9">
      <c r="A549" s="3" t="str">
        <f t="shared" si="52"/>
        <v>0103</v>
      </c>
      <c r="B549" s="3" t="s">
        <v>13</v>
      </c>
      <c r="C549" s="3" t="str">
        <f>"张旭"</f>
        <v>张旭</v>
      </c>
      <c r="D549" s="3" t="str">
        <f t="shared" si="56"/>
        <v>女</v>
      </c>
      <c r="E549" s="3" t="str">
        <f>"2507012010"</f>
        <v>2507012010</v>
      </c>
      <c r="F549" s="3" t="str">
        <f t="shared" si="55"/>
        <v>20</v>
      </c>
      <c r="G549" s="4" t="str">
        <f>"10"</f>
        <v>10</v>
      </c>
      <c r="H549" s="5">
        <v>56.8</v>
      </c>
      <c r="I549" s="3"/>
    </row>
    <row r="550" customHeight="1" spans="1:9">
      <c r="A550" s="3" t="str">
        <f t="shared" si="52"/>
        <v>0103</v>
      </c>
      <c r="B550" s="3" t="s">
        <v>13</v>
      </c>
      <c r="C550" s="3" t="str">
        <f>"沈梦君"</f>
        <v>沈梦君</v>
      </c>
      <c r="D550" s="3" t="str">
        <f t="shared" si="56"/>
        <v>女</v>
      </c>
      <c r="E550" s="3" t="str">
        <f>"2507012011"</f>
        <v>2507012011</v>
      </c>
      <c r="F550" s="3" t="str">
        <f t="shared" si="55"/>
        <v>20</v>
      </c>
      <c r="G550" s="4" t="str">
        <f>"11"</f>
        <v>11</v>
      </c>
      <c r="H550" s="5">
        <v>0</v>
      </c>
      <c r="I550" s="3" t="s">
        <v>11</v>
      </c>
    </row>
    <row r="551" customHeight="1" spans="1:9">
      <c r="A551" s="3" t="str">
        <f t="shared" si="52"/>
        <v>0103</v>
      </c>
      <c r="B551" s="3" t="s">
        <v>13</v>
      </c>
      <c r="C551" s="3" t="str">
        <f>"赵纯"</f>
        <v>赵纯</v>
      </c>
      <c r="D551" s="3" t="str">
        <f t="shared" si="56"/>
        <v>女</v>
      </c>
      <c r="E551" s="3" t="str">
        <f>"2507012012"</f>
        <v>2507012012</v>
      </c>
      <c r="F551" s="3" t="str">
        <f t="shared" si="55"/>
        <v>20</v>
      </c>
      <c r="G551" s="4" t="str">
        <f>"12"</f>
        <v>12</v>
      </c>
      <c r="H551" s="5">
        <v>0</v>
      </c>
      <c r="I551" s="3" t="s">
        <v>11</v>
      </c>
    </row>
    <row r="552" customHeight="1" spans="1:9">
      <c r="A552" s="3" t="str">
        <f t="shared" si="52"/>
        <v>0103</v>
      </c>
      <c r="B552" s="3" t="s">
        <v>13</v>
      </c>
      <c r="C552" s="3" t="str">
        <f>"顾士兵"</f>
        <v>顾士兵</v>
      </c>
      <c r="D552" s="3" t="str">
        <f t="shared" si="56"/>
        <v>女</v>
      </c>
      <c r="E552" s="3" t="str">
        <f>"2507012013"</f>
        <v>2507012013</v>
      </c>
      <c r="F552" s="3" t="str">
        <f t="shared" si="55"/>
        <v>20</v>
      </c>
      <c r="G552" s="4" t="str">
        <f>"13"</f>
        <v>13</v>
      </c>
      <c r="H552" s="5">
        <v>21.8</v>
      </c>
      <c r="I552" s="3"/>
    </row>
    <row r="553" customHeight="1" spans="1:9">
      <c r="A553" s="3" t="str">
        <f t="shared" si="52"/>
        <v>0103</v>
      </c>
      <c r="B553" s="3" t="s">
        <v>13</v>
      </c>
      <c r="C553" s="3" t="str">
        <f>"高东强"</f>
        <v>高东强</v>
      </c>
      <c r="D553" s="3" t="str">
        <f>"男"</f>
        <v>男</v>
      </c>
      <c r="E553" s="3" t="str">
        <f>"2507012014"</f>
        <v>2507012014</v>
      </c>
      <c r="F553" s="3" t="str">
        <f t="shared" si="55"/>
        <v>20</v>
      </c>
      <c r="G553" s="4" t="str">
        <f>"14"</f>
        <v>14</v>
      </c>
      <c r="H553" s="5">
        <v>42.8</v>
      </c>
      <c r="I553" s="3"/>
    </row>
    <row r="554" customHeight="1" spans="1:9">
      <c r="A554" s="3" t="str">
        <f t="shared" si="52"/>
        <v>0103</v>
      </c>
      <c r="B554" s="3" t="s">
        <v>13</v>
      </c>
      <c r="C554" s="3" t="str">
        <f>"王健"</f>
        <v>王健</v>
      </c>
      <c r="D554" s="3" t="str">
        <f>"男"</f>
        <v>男</v>
      </c>
      <c r="E554" s="3" t="str">
        <f>"2507012015"</f>
        <v>2507012015</v>
      </c>
      <c r="F554" s="3" t="str">
        <f t="shared" si="55"/>
        <v>20</v>
      </c>
      <c r="G554" s="4" t="str">
        <f>"15"</f>
        <v>15</v>
      </c>
      <c r="H554" s="5">
        <v>41.9</v>
      </c>
      <c r="I554" s="3"/>
    </row>
    <row r="555" customHeight="1" spans="1:9">
      <c r="A555" s="3" t="str">
        <f t="shared" si="52"/>
        <v>0103</v>
      </c>
      <c r="B555" s="3" t="s">
        <v>13</v>
      </c>
      <c r="C555" s="3" t="str">
        <f>"何影"</f>
        <v>何影</v>
      </c>
      <c r="D555" s="3" t="str">
        <f>"女"</f>
        <v>女</v>
      </c>
      <c r="E555" s="3" t="str">
        <f>"2507012016"</f>
        <v>2507012016</v>
      </c>
      <c r="F555" s="3" t="str">
        <f t="shared" si="55"/>
        <v>20</v>
      </c>
      <c r="G555" s="4" t="str">
        <f>"16"</f>
        <v>16</v>
      </c>
      <c r="H555" s="5">
        <v>46.5</v>
      </c>
      <c r="I555" s="3"/>
    </row>
    <row r="556" customHeight="1" spans="1:9">
      <c r="A556" s="3" t="str">
        <f t="shared" si="52"/>
        <v>0103</v>
      </c>
      <c r="B556" s="3" t="s">
        <v>13</v>
      </c>
      <c r="C556" s="3" t="str">
        <f>"张厚成"</f>
        <v>张厚成</v>
      </c>
      <c r="D556" s="3" t="str">
        <f>"男"</f>
        <v>男</v>
      </c>
      <c r="E556" s="3" t="str">
        <f>"2507012017"</f>
        <v>2507012017</v>
      </c>
      <c r="F556" s="3" t="str">
        <f t="shared" si="55"/>
        <v>20</v>
      </c>
      <c r="G556" s="4" t="str">
        <f>"17"</f>
        <v>17</v>
      </c>
      <c r="H556" s="5">
        <v>0</v>
      </c>
      <c r="I556" s="3" t="s">
        <v>11</v>
      </c>
    </row>
    <row r="557" customHeight="1" spans="1:9">
      <c r="A557" s="3" t="str">
        <f t="shared" si="52"/>
        <v>0103</v>
      </c>
      <c r="B557" s="3" t="s">
        <v>13</v>
      </c>
      <c r="C557" s="3" t="str">
        <f>"罗彦"</f>
        <v>罗彦</v>
      </c>
      <c r="D557" s="3" t="str">
        <f>"女"</f>
        <v>女</v>
      </c>
      <c r="E557" s="3" t="str">
        <f>"2507012018"</f>
        <v>2507012018</v>
      </c>
      <c r="F557" s="3" t="str">
        <f t="shared" si="55"/>
        <v>20</v>
      </c>
      <c r="G557" s="4" t="str">
        <f>"18"</f>
        <v>18</v>
      </c>
      <c r="H557" s="5">
        <v>0</v>
      </c>
      <c r="I557" s="3" t="s">
        <v>11</v>
      </c>
    </row>
    <row r="558" customHeight="1" spans="1:9">
      <c r="A558" s="3" t="str">
        <f t="shared" si="52"/>
        <v>0103</v>
      </c>
      <c r="B558" s="3" t="s">
        <v>13</v>
      </c>
      <c r="C558" s="3" t="str">
        <f>"孙学尚"</f>
        <v>孙学尚</v>
      </c>
      <c r="D558" s="3" t="str">
        <f>"男"</f>
        <v>男</v>
      </c>
      <c r="E558" s="3" t="str">
        <f>"2507012019"</f>
        <v>2507012019</v>
      </c>
      <c r="F558" s="3" t="str">
        <f t="shared" si="55"/>
        <v>20</v>
      </c>
      <c r="G558" s="4" t="str">
        <f>"19"</f>
        <v>19</v>
      </c>
      <c r="H558" s="5">
        <v>29.2</v>
      </c>
      <c r="I558" s="3"/>
    </row>
    <row r="559" customHeight="1" spans="1:9">
      <c r="A559" s="3" t="str">
        <f t="shared" si="52"/>
        <v>0103</v>
      </c>
      <c r="B559" s="3" t="s">
        <v>13</v>
      </c>
      <c r="C559" s="3" t="str">
        <f>"倪乐"</f>
        <v>倪乐</v>
      </c>
      <c r="D559" s="3" t="str">
        <f>"男"</f>
        <v>男</v>
      </c>
      <c r="E559" s="3" t="str">
        <f>"2507012020"</f>
        <v>2507012020</v>
      </c>
      <c r="F559" s="3" t="str">
        <f t="shared" si="55"/>
        <v>20</v>
      </c>
      <c r="G559" s="4" t="str">
        <f>"20"</f>
        <v>20</v>
      </c>
      <c r="H559" s="5">
        <v>30.7</v>
      </c>
      <c r="I559" s="3"/>
    </row>
    <row r="560" customHeight="1" spans="1:9">
      <c r="A560" s="3" t="str">
        <f t="shared" si="52"/>
        <v>0103</v>
      </c>
      <c r="B560" s="3" t="s">
        <v>13</v>
      </c>
      <c r="C560" s="3" t="str">
        <f>"缪晨勰"</f>
        <v>缪晨勰</v>
      </c>
      <c r="D560" s="3" t="str">
        <f>"女"</f>
        <v>女</v>
      </c>
      <c r="E560" s="3" t="str">
        <f>"2507012021"</f>
        <v>2507012021</v>
      </c>
      <c r="F560" s="3" t="str">
        <f t="shared" si="55"/>
        <v>20</v>
      </c>
      <c r="G560" s="4" t="str">
        <f>"21"</f>
        <v>21</v>
      </c>
      <c r="H560" s="5">
        <v>56.4</v>
      </c>
      <c r="I560" s="3"/>
    </row>
    <row r="561" customHeight="1" spans="1:9">
      <c r="A561" s="3" t="str">
        <f t="shared" si="52"/>
        <v>0103</v>
      </c>
      <c r="B561" s="3" t="s">
        <v>13</v>
      </c>
      <c r="C561" s="3" t="str">
        <f>"王秋懿"</f>
        <v>王秋懿</v>
      </c>
      <c r="D561" s="3" t="str">
        <f>"女"</f>
        <v>女</v>
      </c>
      <c r="E561" s="3" t="str">
        <f>"2507012022"</f>
        <v>2507012022</v>
      </c>
      <c r="F561" s="3" t="str">
        <f t="shared" si="55"/>
        <v>20</v>
      </c>
      <c r="G561" s="4" t="str">
        <f>"22"</f>
        <v>22</v>
      </c>
      <c r="H561" s="5">
        <v>0</v>
      </c>
      <c r="I561" s="3" t="s">
        <v>11</v>
      </c>
    </row>
    <row r="562" customHeight="1" spans="1:9">
      <c r="A562" s="3" t="str">
        <f t="shared" si="52"/>
        <v>0103</v>
      </c>
      <c r="B562" s="3" t="s">
        <v>13</v>
      </c>
      <c r="C562" s="3" t="str">
        <f>"马诗雨"</f>
        <v>马诗雨</v>
      </c>
      <c r="D562" s="3" t="str">
        <f>"女"</f>
        <v>女</v>
      </c>
      <c r="E562" s="3" t="str">
        <f>"2507012023"</f>
        <v>2507012023</v>
      </c>
      <c r="F562" s="3" t="str">
        <f t="shared" si="55"/>
        <v>20</v>
      </c>
      <c r="G562" s="4" t="str">
        <f>"23"</f>
        <v>23</v>
      </c>
      <c r="H562" s="5">
        <v>55.3</v>
      </c>
      <c r="I562" s="3"/>
    </row>
    <row r="563" customHeight="1" spans="1:9">
      <c r="A563" s="3" t="str">
        <f t="shared" si="52"/>
        <v>0103</v>
      </c>
      <c r="B563" s="3" t="s">
        <v>13</v>
      </c>
      <c r="C563" s="3" t="str">
        <f>"赵彬彬"</f>
        <v>赵彬彬</v>
      </c>
      <c r="D563" s="3" t="str">
        <f>"男"</f>
        <v>男</v>
      </c>
      <c r="E563" s="3" t="str">
        <f>"2507012024"</f>
        <v>2507012024</v>
      </c>
      <c r="F563" s="3" t="str">
        <f t="shared" si="55"/>
        <v>20</v>
      </c>
      <c r="G563" s="4" t="str">
        <f>"24"</f>
        <v>24</v>
      </c>
      <c r="H563" s="5">
        <v>55.3</v>
      </c>
      <c r="I563" s="3"/>
    </row>
    <row r="564" customHeight="1" spans="1:9">
      <c r="A564" s="3" t="str">
        <f t="shared" si="52"/>
        <v>0103</v>
      </c>
      <c r="B564" s="3" t="s">
        <v>13</v>
      </c>
      <c r="C564" s="3" t="str">
        <f>"王兆莉"</f>
        <v>王兆莉</v>
      </c>
      <c r="D564" s="3" t="str">
        <f>"女"</f>
        <v>女</v>
      </c>
      <c r="E564" s="3" t="str">
        <f>"2507012025"</f>
        <v>2507012025</v>
      </c>
      <c r="F564" s="3" t="str">
        <f t="shared" si="55"/>
        <v>20</v>
      </c>
      <c r="G564" s="4" t="str">
        <f>"25"</f>
        <v>25</v>
      </c>
      <c r="H564" s="5">
        <v>43.3</v>
      </c>
      <c r="I564" s="3"/>
    </row>
    <row r="565" customHeight="1" spans="1:9">
      <c r="A565" s="3" t="str">
        <f t="shared" si="52"/>
        <v>0103</v>
      </c>
      <c r="B565" s="3" t="s">
        <v>13</v>
      </c>
      <c r="C565" s="3" t="str">
        <f>"刘芳芳"</f>
        <v>刘芳芳</v>
      </c>
      <c r="D565" s="3" t="str">
        <f>"女"</f>
        <v>女</v>
      </c>
      <c r="E565" s="3" t="str">
        <f>"2507012026"</f>
        <v>2507012026</v>
      </c>
      <c r="F565" s="3" t="str">
        <f t="shared" si="55"/>
        <v>20</v>
      </c>
      <c r="G565" s="4" t="str">
        <f>"26"</f>
        <v>26</v>
      </c>
      <c r="H565" s="5">
        <v>58.9</v>
      </c>
      <c r="I565" s="3"/>
    </row>
    <row r="566" customHeight="1" spans="1:9">
      <c r="A566" s="3" t="str">
        <f t="shared" si="52"/>
        <v>0103</v>
      </c>
      <c r="B566" s="3" t="s">
        <v>13</v>
      </c>
      <c r="C566" s="3" t="str">
        <f>"闫觅"</f>
        <v>闫觅</v>
      </c>
      <c r="D566" s="3" t="str">
        <f>"女"</f>
        <v>女</v>
      </c>
      <c r="E566" s="3" t="str">
        <f>"2507012027"</f>
        <v>2507012027</v>
      </c>
      <c r="F566" s="3" t="str">
        <f t="shared" si="55"/>
        <v>20</v>
      </c>
      <c r="G566" s="4" t="str">
        <f>"27"</f>
        <v>27</v>
      </c>
      <c r="H566" s="5">
        <v>30.5</v>
      </c>
      <c r="I566" s="3"/>
    </row>
    <row r="567" customHeight="1" spans="1:9">
      <c r="A567" s="3" t="str">
        <f t="shared" si="52"/>
        <v>0103</v>
      </c>
      <c r="B567" s="3" t="s">
        <v>13</v>
      </c>
      <c r="C567" s="3" t="str">
        <f>"崔孟含"</f>
        <v>崔孟含</v>
      </c>
      <c r="D567" s="3" t="str">
        <f>"男"</f>
        <v>男</v>
      </c>
      <c r="E567" s="3" t="str">
        <f>"2507012028"</f>
        <v>2507012028</v>
      </c>
      <c r="F567" s="3" t="str">
        <f t="shared" si="55"/>
        <v>20</v>
      </c>
      <c r="G567" s="4" t="str">
        <f>"28"</f>
        <v>28</v>
      </c>
      <c r="H567" s="5">
        <v>33.1</v>
      </c>
      <c r="I567" s="3"/>
    </row>
    <row r="568" customHeight="1" spans="1:9">
      <c r="A568" s="3" t="str">
        <f t="shared" si="52"/>
        <v>0103</v>
      </c>
      <c r="B568" s="3" t="s">
        <v>13</v>
      </c>
      <c r="C568" s="3" t="str">
        <f>"薛维"</f>
        <v>薛维</v>
      </c>
      <c r="D568" s="3" t="str">
        <f t="shared" ref="D568:D578" si="57">"女"</f>
        <v>女</v>
      </c>
      <c r="E568" s="3" t="str">
        <f>"2507012029"</f>
        <v>2507012029</v>
      </c>
      <c r="F568" s="3" t="str">
        <f t="shared" si="55"/>
        <v>20</v>
      </c>
      <c r="G568" s="4" t="str">
        <f>"29"</f>
        <v>29</v>
      </c>
      <c r="H568" s="5">
        <v>28.5</v>
      </c>
      <c r="I568" s="3"/>
    </row>
    <row r="569" customHeight="1" spans="1:9">
      <c r="A569" s="3" t="str">
        <f t="shared" si="52"/>
        <v>0103</v>
      </c>
      <c r="B569" s="3" t="s">
        <v>13</v>
      </c>
      <c r="C569" s="3" t="str">
        <f>"孙成成"</f>
        <v>孙成成</v>
      </c>
      <c r="D569" s="3" t="str">
        <f t="shared" si="57"/>
        <v>女</v>
      </c>
      <c r="E569" s="3" t="str">
        <f>"2507012030"</f>
        <v>2507012030</v>
      </c>
      <c r="F569" s="3" t="str">
        <f t="shared" si="55"/>
        <v>20</v>
      </c>
      <c r="G569" s="4" t="str">
        <f>"30"</f>
        <v>30</v>
      </c>
      <c r="H569" s="5">
        <v>43.6</v>
      </c>
      <c r="I569" s="3"/>
    </row>
    <row r="570" customHeight="1" spans="1:9">
      <c r="A570" s="3" t="str">
        <f t="shared" si="52"/>
        <v>0103</v>
      </c>
      <c r="B570" s="3" t="s">
        <v>13</v>
      </c>
      <c r="C570" s="3" t="str">
        <f>"王甜甜"</f>
        <v>王甜甜</v>
      </c>
      <c r="D570" s="3" t="str">
        <f t="shared" si="57"/>
        <v>女</v>
      </c>
      <c r="E570" s="3" t="str">
        <f>"2507012031"</f>
        <v>2507012031</v>
      </c>
      <c r="F570" s="3" t="str">
        <f t="shared" si="55"/>
        <v>20</v>
      </c>
      <c r="G570" s="4" t="str">
        <f>"31"</f>
        <v>31</v>
      </c>
      <c r="H570" s="5">
        <v>0</v>
      </c>
      <c r="I570" s="3" t="s">
        <v>11</v>
      </c>
    </row>
    <row r="571" customHeight="1" spans="1:9">
      <c r="A571" s="3" t="str">
        <f t="shared" si="52"/>
        <v>0103</v>
      </c>
      <c r="B571" s="3" t="s">
        <v>13</v>
      </c>
      <c r="C571" s="3" t="str">
        <f>"王玉珍"</f>
        <v>王玉珍</v>
      </c>
      <c r="D571" s="3" t="str">
        <f t="shared" si="57"/>
        <v>女</v>
      </c>
      <c r="E571" s="3" t="str">
        <f>"2507012101"</f>
        <v>2507012101</v>
      </c>
      <c r="F571" s="3" t="str">
        <f t="shared" ref="F571:F601" si="58">"21"</f>
        <v>21</v>
      </c>
      <c r="G571" s="4" t="str">
        <f>"01"</f>
        <v>01</v>
      </c>
      <c r="H571" s="5">
        <v>49.3</v>
      </c>
      <c r="I571" s="3"/>
    </row>
    <row r="572" customHeight="1" spans="1:9">
      <c r="A572" s="3" t="str">
        <f t="shared" si="52"/>
        <v>0103</v>
      </c>
      <c r="B572" s="3" t="s">
        <v>13</v>
      </c>
      <c r="C572" s="3" t="str">
        <f>"张琪"</f>
        <v>张琪</v>
      </c>
      <c r="D572" s="3" t="str">
        <f t="shared" si="57"/>
        <v>女</v>
      </c>
      <c r="E572" s="3" t="str">
        <f>"2507012102"</f>
        <v>2507012102</v>
      </c>
      <c r="F572" s="3" t="str">
        <f t="shared" si="58"/>
        <v>21</v>
      </c>
      <c r="G572" s="4" t="str">
        <f>"02"</f>
        <v>02</v>
      </c>
      <c r="H572" s="5">
        <v>0</v>
      </c>
      <c r="I572" s="3" t="s">
        <v>11</v>
      </c>
    </row>
    <row r="573" customHeight="1" spans="1:9">
      <c r="A573" s="3" t="str">
        <f t="shared" si="52"/>
        <v>0103</v>
      </c>
      <c r="B573" s="3" t="s">
        <v>13</v>
      </c>
      <c r="C573" s="3" t="str">
        <f>"尹文芳"</f>
        <v>尹文芳</v>
      </c>
      <c r="D573" s="3" t="str">
        <f t="shared" si="57"/>
        <v>女</v>
      </c>
      <c r="E573" s="3" t="str">
        <f>"2507012103"</f>
        <v>2507012103</v>
      </c>
      <c r="F573" s="3" t="str">
        <f t="shared" si="58"/>
        <v>21</v>
      </c>
      <c r="G573" s="4" t="str">
        <f>"03"</f>
        <v>03</v>
      </c>
      <c r="H573" s="5">
        <v>49.2</v>
      </c>
      <c r="I573" s="3"/>
    </row>
    <row r="574" customHeight="1" spans="1:9">
      <c r="A574" s="3" t="str">
        <f t="shared" si="52"/>
        <v>0103</v>
      </c>
      <c r="B574" s="3" t="s">
        <v>13</v>
      </c>
      <c r="C574" s="3" t="str">
        <f>"桑红"</f>
        <v>桑红</v>
      </c>
      <c r="D574" s="3" t="str">
        <f t="shared" si="57"/>
        <v>女</v>
      </c>
      <c r="E574" s="3" t="str">
        <f>"2507012104"</f>
        <v>2507012104</v>
      </c>
      <c r="F574" s="3" t="str">
        <f t="shared" si="58"/>
        <v>21</v>
      </c>
      <c r="G574" s="4" t="str">
        <f>"04"</f>
        <v>04</v>
      </c>
      <c r="H574" s="5">
        <v>0</v>
      </c>
      <c r="I574" s="3" t="s">
        <v>11</v>
      </c>
    </row>
    <row r="575" customHeight="1" spans="1:9">
      <c r="A575" s="3" t="str">
        <f t="shared" si="52"/>
        <v>0103</v>
      </c>
      <c r="B575" s="3" t="s">
        <v>13</v>
      </c>
      <c r="C575" s="3" t="str">
        <f>"刘恬溪"</f>
        <v>刘恬溪</v>
      </c>
      <c r="D575" s="3" t="str">
        <f t="shared" si="57"/>
        <v>女</v>
      </c>
      <c r="E575" s="3" t="str">
        <f>"2507012105"</f>
        <v>2507012105</v>
      </c>
      <c r="F575" s="3" t="str">
        <f t="shared" si="58"/>
        <v>21</v>
      </c>
      <c r="G575" s="4" t="str">
        <f>"05"</f>
        <v>05</v>
      </c>
      <c r="H575" s="5">
        <v>0</v>
      </c>
      <c r="I575" s="3" t="s">
        <v>11</v>
      </c>
    </row>
    <row r="576" customHeight="1" spans="1:9">
      <c r="A576" s="3" t="str">
        <f t="shared" si="52"/>
        <v>0103</v>
      </c>
      <c r="B576" s="3" t="s">
        <v>13</v>
      </c>
      <c r="C576" s="3" t="str">
        <f>"张缘"</f>
        <v>张缘</v>
      </c>
      <c r="D576" s="3" t="str">
        <f t="shared" si="57"/>
        <v>女</v>
      </c>
      <c r="E576" s="3" t="str">
        <f>"2507012106"</f>
        <v>2507012106</v>
      </c>
      <c r="F576" s="3" t="str">
        <f t="shared" si="58"/>
        <v>21</v>
      </c>
      <c r="G576" s="4" t="str">
        <f>"06"</f>
        <v>06</v>
      </c>
      <c r="H576" s="5">
        <v>57.6</v>
      </c>
      <c r="I576" s="3"/>
    </row>
    <row r="577" customHeight="1" spans="1:9">
      <c r="A577" s="3" t="str">
        <f t="shared" si="52"/>
        <v>0103</v>
      </c>
      <c r="B577" s="3" t="s">
        <v>13</v>
      </c>
      <c r="C577" s="3" t="str">
        <f>"戚媛媛"</f>
        <v>戚媛媛</v>
      </c>
      <c r="D577" s="3" t="str">
        <f t="shared" si="57"/>
        <v>女</v>
      </c>
      <c r="E577" s="3" t="str">
        <f>"2507012107"</f>
        <v>2507012107</v>
      </c>
      <c r="F577" s="3" t="str">
        <f t="shared" si="58"/>
        <v>21</v>
      </c>
      <c r="G577" s="4" t="str">
        <f>"07"</f>
        <v>07</v>
      </c>
      <c r="H577" s="5">
        <v>32.1</v>
      </c>
      <c r="I577" s="3"/>
    </row>
    <row r="578" customHeight="1" spans="1:9">
      <c r="A578" s="3" t="str">
        <f t="shared" ref="A578:A641" si="59">"0103"</f>
        <v>0103</v>
      </c>
      <c r="B578" s="3" t="s">
        <v>13</v>
      </c>
      <c r="C578" s="3" t="str">
        <f>"徐伟雯"</f>
        <v>徐伟雯</v>
      </c>
      <c r="D578" s="3" t="str">
        <f t="shared" si="57"/>
        <v>女</v>
      </c>
      <c r="E578" s="3" t="str">
        <f>"2507012108"</f>
        <v>2507012108</v>
      </c>
      <c r="F578" s="3" t="str">
        <f t="shared" si="58"/>
        <v>21</v>
      </c>
      <c r="G578" s="4" t="str">
        <f>"08"</f>
        <v>08</v>
      </c>
      <c r="H578" s="5">
        <v>54.9</v>
      </c>
      <c r="I578" s="3"/>
    </row>
    <row r="579" customHeight="1" spans="1:9">
      <c r="A579" s="3" t="str">
        <f t="shared" si="59"/>
        <v>0103</v>
      </c>
      <c r="B579" s="3" t="s">
        <v>13</v>
      </c>
      <c r="C579" s="3" t="str">
        <f>"孙忠梦"</f>
        <v>孙忠梦</v>
      </c>
      <c r="D579" s="3" t="str">
        <f>"男"</f>
        <v>男</v>
      </c>
      <c r="E579" s="3" t="str">
        <f>"2507012109"</f>
        <v>2507012109</v>
      </c>
      <c r="F579" s="3" t="str">
        <f t="shared" si="58"/>
        <v>21</v>
      </c>
      <c r="G579" s="4" t="str">
        <f>"09"</f>
        <v>09</v>
      </c>
      <c r="H579" s="5">
        <v>29.1</v>
      </c>
      <c r="I579" s="3"/>
    </row>
    <row r="580" customHeight="1" spans="1:9">
      <c r="A580" s="3" t="str">
        <f t="shared" si="59"/>
        <v>0103</v>
      </c>
      <c r="B580" s="3" t="s">
        <v>13</v>
      </c>
      <c r="C580" s="3" t="str">
        <f>"孙祥"</f>
        <v>孙祥</v>
      </c>
      <c r="D580" s="3" t="str">
        <f>"男"</f>
        <v>男</v>
      </c>
      <c r="E580" s="3" t="str">
        <f>"2507012110"</f>
        <v>2507012110</v>
      </c>
      <c r="F580" s="3" t="str">
        <f t="shared" si="58"/>
        <v>21</v>
      </c>
      <c r="G580" s="4" t="str">
        <f>"10"</f>
        <v>10</v>
      </c>
      <c r="H580" s="5">
        <v>0</v>
      </c>
      <c r="I580" s="3" t="s">
        <v>11</v>
      </c>
    </row>
    <row r="581" customHeight="1" spans="1:9">
      <c r="A581" s="3" t="str">
        <f t="shared" si="59"/>
        <v>0103</v>
      </c>
      <c r="B581" s="3" t="s">
        <v>13</v>
      </c>
      <c r="C581" s="3" t="str">
        <f>"李思函"</f>
        <v>李思函</v>
      </c>
      <c r="D581" s="3" t="str">
        <f>"男"</f>
        <v>男</v>
      </c>
      <c r="E581" s="3" t="str">
        <f>"2507012111"</f>
        <v>2507012111</v>
      </c>
      <c r="F581" s="3" t="str">
        <f t="shared" si="58"/>
        <v>21</v>
      </c>
      <c r="G581" s="4" t="str">
        <f>"11"</f>
        <v>11</v>
      </c>
      <c r="H581" s="5">
        <v>31.5</v>
      </c>
      <c r="I581" s="3"/>
    </row>
    <row r="582" customHeight="1" spans="1:9">
      <c r="A582" s="3" t="str">
        <f t="shared" si="59"/>
        <v>0103</v>
      </c>
      <c r="B582" s="3" t="s">
        <v>13</v>
      </c>
      <c r="C582" s="3" t="str">
        <f>"崔茜"</f>
        <v>崔茜</v>
      </c>
      <c r="D582" s="3" t="str">
        <f>"女"</f>
        <v>女</v>
      </c>
      <c r="E582" s="3" t="str">
        <f>"2507012112"</f>
        <v>2507012112</v>
      </c>
      <c r="F582" s="3" t="str">
        <f t="shared" si="58"/>
        <v>21</v>
      </c>
      <c r="G582" s="4" t="str">
        <f>"12"</f>
        <v>12</v>
      </c>
      <c r="H582" s="5">
        <v>35.1</v>
      </c>
      <c r="I582" s="3"/>
    </row>
    <row r="583" customHeight="1" spans="1:9">
      <c r="A583" s="3" t="str">
        <f t="shared" si="59"/>
        <v>0103</v>
      </c>
      <c r="B583" s="3" t="s">
        <v>13</v>
      </c>
      <c r="C583" s="3" t="str">
        <f>"朱瑞"</f>
        <v>朱瑞</v>
      </c>
      <c r="D583" s="3" t="str">
        <f>"男"</f>
        <v>男</v>
      </c>
      <c r="E583" s="3" t="str">
        <f>"2507012113"</f>
        <v>2507012113</v>
      </c>
      <c r="F583" s="3" t="str">
        <f t="shared" si="58"/>
        <v>21</v>
      </c>
      <c r="G583" s="4" t="str">
        <f>"13"</f>
        <v>13</v>
      </c>
      <c r="H583" s="5">
        <v>61.9</v>
      </c>
      <c r="I583" s="3"/>
    </row>
    <row r="584" customHeight="1" spans="1:9">
      <c r="A584" s="3" t="str">
        <f t="shared" si="59"/>
        <v>0103</v>
      </c>
      <c r="B584" s="3" t="s">
        <v>13</v>
      </c>
      <c r="C584" s="3" t="str">
        <f>"黄俊根"</f>
        <v>黄俊根</v>
      </c>
      <c r="D584" s="3" t="str">
        <f>"男"</f>
        <v>男</v>
      </c>
      <c r="E584" s="3" t="str">
        <f>"2507012114"</f>
        <v>2507012114</v>
      </c>
      <c r="F584" s="3" t="str">
        <f t="shared" si="58"/>
        <v>21</v>
      </c>
      <c r="G584" s="4" t="str">
        <f>"14"</f>
        <v>14</v>
      </c>
      <c r="H584" s="5">
        <v>44.8</v>
      </c>
      <c r="I584" s="3"/>
    </row>
    <row r="585" customHeight="1" spans="1:9">
      <c r="A585" s="3" t="str">
        <f t="shared" si="59"/>
        <v>0103</v>
      </c>
      <c r="B585" s="3" t="s">
        <v>13</v>
      </c>
      <c r="C585" s="3" t="str">
        <f>"张艺露"</f>
        <v>张艺露</v>
      </c>
      <c r="D585" s="3" t="str">
        <f>"女"</f>
        <v>女</v>
      </c>
      <c r="E585" s="3" t="str">
        <f>"2507012115"</f>
        <v>2507012115</v>
      </c>
      <c r="F585" s="3" t="str">
        <f t="shared" si="58"/>
        <v>21</v>
      </c>
      <c r="G585" s="4" t="str">
        <f>"15"</f>
        <v>15</v>
      </c>
      <c r="H585" s="5">
        <v>40.1</v>
      </c>
      <c r="I585" s="3"/>
    </row>
    <row r="586" customHeight="1" spans="1:9">
      <c r="A586" s="3" t="str">
        <f t="shared" si="59"/>
        <v>0103</v>
      </c>
      <c r="B586" s="3" t="s">
        <v>13</v>
      </c>
      <c r="C586" s="3" t="str">
        <f>"黄俊辰"</f>
        <v>黄俊辰</v>
      </c>
      <c r="D586" s="3" t="str">
        <f>"女"</f>
        <v>女</v>
      </c>
      <c r="E586" s="3" t="str">
        <f>"2507012116"</f>
        <v>2507012116</v>
      </c>
      <c r="F586" s="3" t="str">
        <f t="shared" si="58"/>
        <v>21</v>
      </c>
      <c r="G586" s="4" t="str">
        <f>"16"</f>
        <v>16</v>
      </c>
      <c r="H586" s="5">
        <v>47</v>
      </c>
      <c r="I586" s="3"/>
    </row>
    <row r="587" customHeight="1" spans="1:9">
      <c r="A587" s="3" t="str">
        <f t="shared" si="59"/>
        <v>0103</v>
      </c>
      <c r="B587" s="3" t="s">
        <v>13</v>
      </c>
      <c r="C587" s="3" t="str">
        <f>"郑军"</f>
        <v>郑军</v>
      </c>
      <c r="D587" s="3" t="str">
        <f>"男"</f>
        <v>男</v>
      </c>
      <c r="E587" s="3" t="str">
        <f>"2507012117"</f>
        <v>2507012117</v>
      </c>
      <c r="F587" s="3" t="str">
        <f t="shared" si="58"/>
        <v>21</v>
      </c>
      <c r="G587" s="4" t="str">
        <f>"17"</f>
        <v>17</v>
      </c>
      <c r="H587" s="5">
        <v>0</v>
      </c>
      <c r="I587" s="3" t="s">
        <v>11</v>
      </c>
    </row>
    <row r="588" customHeight="1" spans="1:9">
      <c r="A588" s="3" t="str">
        <f t="shared" si="59"/>
        <v>0103</v>
      </c>
      <c r="B588" s="3" t="s">
        <v>13</v>
      </c>
      <c r="C588" s="3" t="str">
        <f>"张涵"</f>
        <v>张涵</v>
      </c>
      <c r="D588" s="3" t="str">
        <f>"女"</f>
        <v>女</v>
      </c>
      <c r="E588" s="3" t="str">
        <f>"2507012118"</f>
        <v>2507012118</v>
      </c>
      <c r="F588" s="3" t="str">
        <f t="shared" si="58"/>
        <v>21</v>
      </c>
      <c r="G588" s="4" t="str">
        <f>"18"</f>
        <v>18</v>
      </c>
      <c r="H588" s="5">
        <v>0</v>
      </c>
      <c r="I588" s="3" t="s">
        <v>11</v>
      </c>
    </row>
    <row r="589" customHeight="1" spans="1:9">
      <c r="A589" s="3" t="str">
        <f t="shared" si="59"/>
        <v>0103</v>
      </c>
      <c r="B589" s="3" t="s">
        <v>13</v>
      </c>
      <c r="C589" s="3" t="str">
        <f>"朱信英"</f>
        <v>朱信英</v>
      </c>
      <c r="D589" s="3" t="str">
        <f>"女"</f>
        <v>女</v>
      </c>
      <c r="E589" s="3" t="str">
        <f>"2507012119"</f>
        <v>2507012119</v>
      </c>
      <c r="F589" s="3" t="str">
        <f t="shared" si="58"/>
        <v>21</v>
      </c>
      <c r="G589" s="4" t="str">
        <f>"19"</f>
        <v>19</v>
      </c>
      <c r="H589" s="5">
        <v>24.9</v>
      </c>
      <c r="I589" s="3"/>
    </row>
    <row r="590" customHeight="1" spans="1:9">
      <c r="A590" s="3" t="str">
        <f t="shared" si="59"/>
        <v>0103</v>
      </c>
      <c r="B590" s="3" t="s">
        <v>13</v>
      </c>
      <c r="C590" s="3" t="str">
        <f>"陈闪闪"</f>
        <v>陈闪闪</v>
      </c>
      <c r="D590" s="3" t="str">
        <f>"女"</f>
        <v>女</v>
      </c>
      <c r="E590" s="3" t="str">
        <f>"2507012120"</f>
        <v>2507012120</v>
      </c>
      <c r="F590" s="3" t="str">
        <f t="shared" si="58"/>
        <v>21</v>
      </c>
      <c r="G590" s="4" t="str">
        <f>"20"</f>
        <v>20</v>
      </c>
      <c r="H590" s="5">
        <v>44.2</v>
      </c>
      <c r="I590" s="3"/>
    </row>
    <row r="591" customHeight="1" spans="1:9">
      <c r="A591" s="3" t="str">
        <f t="shared" si="59"/>
        <v>0103</v>
      </c>
      <c r="B591" s="3" t="s">
        <v>13</v>
      </c>
      <c r="C591" s="3" t="str">
        <f>"马婉雪"</f>
        <v>马婉雪</v>
      </c>
      <c r="D591" s="3" t="str">
        <f>"女"</f>
        <v>女</v>
      </c>
      <c r="E591" s="3" t="str">
        <f>"2507012121"</f>
        <v>2507012121</v>
      </c>
      <c r="F591" s="3" t="str">
        <f t="shared" si="58"/>
        <v>21</v>
      </c>
      <c r="G591" s="4" t="str">
        <f>"21"</f>
        <v>21</v>
      </c>
      <c r="H591" s="5">
        <v>41</v>
      </c>
      <c r="I591" s="3"/>
    </row>
    <row r="592" customHeight="1" spans="1:9">
      <c r="A592" s="3" t="str">
        <f t="shared" si="59"/>
        <v>0103</v>
      </c>
      <c r="B592" s="3" t="s">
        <v>13</v>
      </c>
      <c r="C592" s="3" t="str">
        <f>"张子涵"</f>
        <v>张子涵</v>
      </c>
      <c r="D592" s="3" t="str">
        <f>"女"</f>
        <v>女</v>
      </c>
      <c r="E592" s="3" t="str">
        <f>"2507012122"</f>
        <v>2507012122</v>
      </c>
      <c r="F592" s="3" t="str">
        <f t="shared" si="58"/>
        <v>21</v>
      </c>
      <c r="G592" s="4" t="str">
        <f>"22"</f>
        <v>22</v>
      </c>
      <c r="H592" s="5">
        <v>0</v>
      </c>
      <c r="I592" s="3" t="s">
        <v>11</v>
      </c>
    </row>
    <row r="593" customHeight="1" spans="1:9">
      <c r="A593" s="3" t="str">
        <f t="shared" si="59"/>
        <v>0103</v>
      </c>
      <c r="B593" s="3" t="s">
        <v>13</v>
      </c>
      <c r="C593" s="3" t="str">
        <f>"石明珠"</f>
        <v>石明珠</v>
      </c>
      <c r="D593" s="3" t="str">
        <f>"男"</f>
        <v>男</v>
      </c>
      <c r="E593" s="3" t="str">
        <f>"2507012123"</f>
        <v>2507012123</v>
      </c>
      <c r="F593" s="3" t="str">
        <f t="shared" si="58"/>
        <v>21</v>
      </c>
      <c r="G593" s="4" t="str">
        <f>"23"</f>
        <v>23</v>
      </c>
      <c r="H593" s="5">
        <v>17.3</v>
      </c>
      <c r="I593" s="3"/>
    </row>
    <row r="594" customHeight="1" spans="1:9">
      <c r="A594" s="3" t="str">
        <f t="shared" si="59"/>
        <v>0103</v>
      </c>
      <c r="B594" s="3" t="s">
        <v>13</v>
      </c>
      <c r="C594" s="3" t="str">
        <f>"王菲"</f>
        <v>王菲</v>
      </c>
      <c r="D594" s="3" t="str">
        <f>"女"</f>
        <v>女</v>
      </c>
      <c r="E594" s="3" t="str">
        <f>"2507012124"</f>
        <v>2507012124</v>
      </c>
      <c r="F594" s="3" t="str">
        <f t="shared" si="58"/>
        <v>21</v>
      </c>
      <c r="G594" s="4" t="str">
        <f>"24"</f>
        <v>24</v>
      </c>
      <c r="H594" s="5">
        <v>67.2</v>
      </c>
      <c r="I594" s="3"/>
    </row>
    <row r="595" customHeight="1" spans="1:9">
      <c r="A595" s="3" t="str">
        <f t="shared" si="59"/>
        <v>0103</v>
      </c>
      <c r="B595" s="3" t="s">
        <v>13</v>
      </c>
      <c r="C595" s="3" t="str">
        <f>"陈永波"</f>
        <v>陈永波</v>
      </c>
      <c r="D595" s="3" t="str">
        <f>"男"</f>
        <v>男</v>
      </c>
      <c r="E595" s="3" t="str">
        <f>"2507012125"</f>
        <v>2507012125</v>
      </c>
      <c r="F595" s="3" t="str">
        <f t="shared" si="58"/>
        <v>21</v>
      </c>
      <c r="G595" s="4" t="str">
        <f>"25"</f>
        <v>25</v>
      </c>
      <c r="H595" s="5">
        <v>51.6</v>
      </c>
      <c r="I595" s="3"/>
    </row>
    <row r="596" customHeight="1" spans="1:9">
      <c r="A596" s="3" t="str">
        <f t="shared" si="59"/>
        <v>0103</v>
      </c>
      <c r="B596" s="3" t="s">
        <v>13</v>
      </c>
      <c r="C596" s="3" t="str">
        <f>"杨东川"</f>
        <v>杨东川</v>
      </c>
      <c r="D596" s="3" t="str">
        <f>"男"</f>
        <v>男</v>
      </c>
      <c r="E596" s="3" t="str">
        <f>"2507012126"</f>
        <v>2507012126</v>
      </c>
      <c r="F596" s="3" t="str">
        <f t="shared" si="58"/>
        <v>21</v>
      </c>
      <c r="G596" s="4" t="str">
        <f>"26"</f>
        <v>26</v>
      </c>
      <c r="H596" s="5">
        <v>31.4</v>
      </c>
      <c r="I596" s="3"/>
    </row>
    <row r="597" customHeight="1" spans="1:9">
      <c r="A597" s="3" t="str">
        <f t="shared" si="59"/>
        <v>0103</v>
      </c>
      <c r="B597" s="3" t="s">
        <v>13</v>
      </c>
      <c r="C597" s="3" t="str">
        <f>"巩敏"</f>
        <v>巩敏</v>
      </c>
      <c r="D597" s="3" t="str">
        <f>"女"</f>
        <v>女</v>
      </c>
      <c r="E597" s="3" t="str">
        <f>"2507012127"</f>
        <v>2507012127</v>
      </c>
      <c r="F597" s="3" t="str">
        <f t="shared" si="58"/>
        <v>21</v>
      </c>
      <c r="G597" s="4" t="str">
        <f>"27"</f>
        <v>27</v>
      </c>
      <c r="H597" s="5">
        <v>0</v>
      </c>
      <c r="I597" s="3" t="s">
        <v>11</v>
      </c>
    </row>
    <row r="598" customHeight="1" spans="1:9">
      <c r="A598" s="3" t="str">
        <f t="shared" si="59"/>
        <v>0103</v>
      </c>
      <c r="B598" s="3" t="s">
        <v>13</v>
      </c>
      <c r="C598" s="3" t="str">
        <f>"包文佳"</f>
        <v>包文佳</v>
      </c>
      <c r="D598" s="3" t="str">
        <f>"女"</f>
        <v>女</v>
      </c>
      <c r="E598" s="3" t="str">
        <f>"2507012128"</f>
        <v>2507012128</v>
      </c>
      <c r="F598" s="3" t="str">
        <f t="shared" si="58"/>
        <v>21</v>
      </c>
      <c r="G598" s="4" t="str">
        <f>"28"</f>
        <v>28</v>
      </c>
      <c r="H598" s="5">
        <v>0</v>
      </c>
      <c r="I598" s="3" t="s">
        <v>11</v>
      </c>
    </row>
    <row r="599" customHeight="1" spans="1:9">
      <c r="A599" s="3" t="str">
        <f t="shared" si="59"/>
        <v>0103</v>
      </c>
      <c r="B599" s="3" t="s">
        <v>13</v>
      </c>
      <c r="C599" s="3" t="str">
        <f>"江开伟"</f>
        <v>江开伟</v>
      </c>
      <c r="D599" s="3" t="str">
        <f>"男"</f>
        <v>男</v>
      </c>
      <c r="E599" s="3" t="str">
        <f>"2507012129"</f>
        <v>2507012129</v>
      </c>
      <c r="F599" s="3" t="str">
        <f t="shared" si="58"/>
        <v>21</v>
      </c>
      <c r="G599" s="4" t="str">
        <f>"29"</f>
        <v>29</v>
      </c>
      <c r="H599" s="5">
        <v>22.4</v>
      </c>
      <c r="I599" s="3"/>
    </row>
    <row r="600" customHeight="1" spans="1:9">
      <c r="A600" s="3" t="str">
        <f t="shared" si="59"/>
        <v>0103</v>
      </c>
      <c r="B600" s="3" t="s">
        <v>13</v>
      </c>
      <c r="C600" s="3" t="str">
        <f>"孔凡晴"</f>
        <v>孔凡晴</v>
      </c>
      <c r="D600" s="3" t="str">
        <f>"女"</f>
        <v>女</v>
      </c>
      <c r="E600" s="3" t="str">
        <f>"2507012130"</f>
        <v>2507012130</v>
      </c>
      <c r="F600" s="3" t="str">
        <f t="shared" si="58"/>
        <v>21</v>
      </c>
      <c r="G600" s="4" t="str">
        <f>"30"</f>
        <v>30</v>
      </c>
      <c r="H600" s="5">
        <v>55.1</v>
      </c>
      <c r="I600" s="3"/>
    </row>
    <row r="601" customHeight="1" spans="1:9">
      <c r="A601" s="3" t="str">
        <f t="shared" si="59"/>
        <v>0103</v>
      </c>
      <c r="B601" s="3" t="s">
        <v>13</v>
      </c>
      <c r="C601" s="3" t="str">
        <f>"王迪迪"</f>
        <v>王迪迪</v>
      </c>
      <c r="D601" s="3" t="str">
        <f>"女"</f>
        <v>女</v>
      </c>
      <c r="E601" s="3" t="str">
        <f>"2507012131"</f>
        <v>2507012131</v>
      </c>
      <c r="F601" s="3" t="str">
        <f t="shared" si="58"/>
        <v>21</v>
      </c>
      <c r="G601" s="4" t="str">
        <f>"31"</f>
        <v>31</v>
      </c>
      <c r="H601" s="5">
        <v>0</v>
      </c>
      <c r="I601" s="3" t="s">
        <v>11</v>
      </c>
    </row>
    <row r="602" customHeight="1" spans="1:9">
      <c r="A602" s="3" t="str">
        <f t="shared" si="59"/>
        <v>0103</v>
      </c>
      <c r="B602" s="3" t="s">
        <v>13</v>
      </c>
      <c r="C602" s="3" t="str">
        <f>"侯岩妍"</f>
        <v>侯岩妍</v>
      </c>
      <c r="D602" s="3" t="str">
        <f>"女"</f>
        <v>女</v>
      </c>
      <c r="E602" s="3" t="str">
        <f>"2507012201"</f>
        <v>2507012201</v>
      </c>
      <c r="F602" s="3" t="str">
        <f t="shared" ref="F602:F632" si="60">"22"</f>
        <v>22</v>
      </c>
      <c r="G602" s="4" t="str">
        <f>"01"</f>
        <v>01</v>
      </c>
      <c r="H602" s="5">
        <v>58.2</v>
      </c>
      <c r="I602" s="3"/>
    </row>
    <row r="603" customHeight="1" spans="1:9">
      <c r="A603" s="3" t="str">
        <f t="shared" si="59"/>
        <v>0103</v>
      </c>
      <c r="B603" s="3" t="s">
        <v>13</v>
      </c>
      <c r="C603" s="3" t="str">
        <f>"陈欣欣"</f>
        <v>陈欣欣</v>
      </c>
      <c r="D603" s="3" t="str">
        <f>"女"</f>
        <v>女</v>
      </c>
      <c r="E603" s="3" t="str">
        <f>"2507012202"</f>
        <v>2507012202</v>
      </c>
      <c r="F603" s="3" t="str">
        <f t="shared" si="60"/>
        <v>22</v>
      </c>
      <c r="G603" s="4" t="str">
        <f>"02"</f>
        <v>02</v>
      </c>
      <c r="H603" s="5">
        <v>43.6</v>
      </c>
      <c r="I603" s="3"/>
    </row>
    <row r="604" customHeight="1" spans="1:9">
      <c r="A604" s="3" t="str">
        <f t="shared" si="59"/>
        <v>0103</v>
      </c>
      <c r="B604" s="3" t="s">
        <v>13</v>
      </c>
      <c r="C604" s="3" t="str">
        <f>"常启迪"</f>
        <v>常启迪</v>
      </c>
      <c r="D604" s="3" t="str">
        <f>"女"</f>
        <v>女</v>
      </c>
      <c r="E604" s="3" t="str">
        <f>"2507012203"</f>
        <v>2507012203</v>
      </c>
      <c r="F604" s="3" t="str">
        <f t="shared" si="60"/>
        <v>22</v>
      </c>
      <c r="G604" s="4" t="str">
        <f>"03"</f>
        <v>03</v>
      </c>
      <c r="H604" s="5">
        <v>37.8</v>
      </c>
      <c r="I604" s="3"/>
    </row>
    <row r="605" customHeight="1" spans="1:9">
      <c r="A605" s="3" t="str">
        <f t="shared" si="59"/>
        <v>0103</v>
      </c>
      <c r="B605" s="3" t="s">
        <v>13</v>
      </c>
      <c r="C605" s="3" t="str">
        <f>"薛枫"</f>
        <v>薛枫</v>
      </c>
      <c r="D605" s="3" t="str">
        <f>"男"</f>
        <v>男</v>
      </c>
      <c r="E605" s="3" t="str">
        <f>"2507012204"</f>
        <v>2507012204</v>
      </c>
      <c r="F605" s="3" t="str">
        <f t="shared" si="60"/>
        <v>22</v>
      </c>
      <c r="G605" s="4" t="str">
        <f>"04"</f>
        <v>04</v>
      </c>
      <c r="H605" s="5">
        <v>0</v>
      </c>
      <c r="I605" s="3" t="s">
        <v>11</v>
      </c>
    </row>
    <row r="606" customHeight="1" spans="1:9">
      <c r="A606" s="3" t="str">
        <f t="shared" si="59"/>
        <v>0103</v>
      </c>
      <c r="B606" s="3" t="s">
        <v>13</v>
      </c>
      <c r="C606" s="3" t="str">
        <f>"鹿国庆"</f>
        <v>鹿国庆</v>
      </c>
      <c r="D606" s="3" t="str">
        <f>"男"</f>
        <v>男</v>
      </c>
      <c r="E606" s="3" t="str">
        <f>"2507012205"</f>
        <v>2507012205</v>
      </c>
      <c r="F606" s="3" t="str">
        <f t="shared" si="60"/>
        <v>22</v>
      </c>
      <c r="G606" s="4" t="str">
        <f>"05"</f>
        <v>05</v>
      </c>
      <c r="H606" s="5">
        <v>30.6</v>
      </c>
      <c r="I606" s="3"/>
    </row>
    <row r="607" customHeight="1" spans="1:9">
      <c r="A607" s="3" t="str">
        <f t="shared" si="59"/>
        <v>0103</v>
      </c>
      <c r="B607" s="3" t="s">
        <v>13</v>
      </c>
      <c r="C607" s="3" t="str">
        <f>"张小灵"</f>
        <v>张小灵</v>
      </c>
      <c r="D607" s="3" t="str">
        <f>"女"</f>
        <v>女</v>
      </c>
      <c r="E607" s="3" t="str">
        <f>"2507012206"</f>
        <v>2507012206</v>
      </c>
      <c r="F607" s="3" t="str">
        <f t="shared" si="60"/>
        <v>22</v>
      </c>
      <c r="G607" s="4" t="str">
        <f>"06"</f>
        <v>06</v>
      </c>
      <c r="H607" s="5">
        <v>73.9</v>
      </c>
      <c r="I607" s="3"/>
    </row>
    <row r="608" customHeight="1" spans="1:9">
      <c r="A608" s="3" t="str">
        <f t="shared" si="59"/>
        <v>0103</v>
      </c>
      <c r="B608" s="3" t="s">
        <v>13</v>
      </c>
      <c r="C608" s="3" t="str">
        <f>"袁大卫"</f>
        <v>袁大卫</v>
      </c>
      <c r="D608" s="3" t="str">
        <f>"男"</f>
        <v>男</v>
      </c>
      <c r="E608" s="3" t="str">
        <f>"2507012207"</f>
        <v>2507012207</v>
      </c>
      <c r="F608" s="3" t="str">
        <f t="shared" si="60"/>
        <v>22</v>
      </c>
      <c r="G608" s="4" t="str">
        <f>"07"</f>
        <v>07</v>
      </c>
      <c r="H608" s="5">
        <v>0</v>
      </c>
      <c r="I608" s="3" t="s">
        <v>11</v>
      </c>
    </row>
    <row r="609" customHeight="1" spans="1:9">
      <c r="A609" s="3" t="str">
        <f t="shared" si="59"/>
        <v>0103</v>
      </c>
      <c r="B609" s="3" t="s">
        <v>13</v>
      </c>
      <c r="C609" s="3" t="str">
        <f>"沙雨歆"</f>
        <v>沙雨歆</v>
      </c>
      <c r="D609" s="3" t="str">
        <f t="shared" ref="D609:D615" si="61">"女"</f>
        <v>女</v>
      </c>
      <c r="E609" s="3" t="str">
        <f>"2507012208"</f>
        <v>2507012208</v>
      </c>
      <c r="F609" s="3" t="str">
        <f t="shared" si="60"/>
        <v>22</v>
      </c>
      <c r="G609" s="4" t="str">
        <f>"08"</f>
        <v>08</v>
      </c>
      <c r="H609" s="5">
        <v>0</v>
      </c>
      <c r="I609" s="3" t="s">
        <v>11</v>
      </c>
    </row>
    <row r="610" customHeight="1" spans="1:9">
      <c r="A610" s="3" t="str">
        <f t="shared" si="59"/>
        <v>0103</v>
      </c>
      <c r="B610" s="3" t="s">
        <v>13</v>
      </c>
      <c r="C610" s="3" t="str">
        <f>"蔡雪"</f>
        <v>蔡雪</v>
      </c>
      <c r="D610" s="3" t="str">
        <f t="shared" si="61"/>
        <v>女</v>
      </c>
      <c r="E610" s="3" t="str">
        <f>"2507012209"</f>
        <v>2507012209</v>
      </c>
      <c r="F610" s="3" t="str">
        <f t="shared" si="60"/>
        <v>22</v>
      </c>
      <c r="G610" s="4" t="str">
        <f>"09"</f>
        <v>09</v>
      </c>
      <c r="H610" s="5">
        <v>33.9</v>
      </c>
      <c r="I610" s="3"/>
    </row>
    <row r="611" customHeight="1" spans="1:9">
      <c r="A611" s="3" t="str">
        <f t="shared" si="59"/>
        <v>0103</v>
      </c>
      <c r="B611" s="3" t="s">
        <v>13</v>
      </c>
      <c r="C611" s="3" t="str">
        <f>"张晨晨"</f>
        <v>张晨晨</v>
      </c>
      <c r="D611" s="3" t="str">
        <f t="shared" si="61"/>
        <v>女</v>
      </c>
      <c r="E611" s="3" t="str">
        <f>"2507012210"</f>
        <v>2507012210</v>
      </c>
      <c r="F611" s="3" t="str">
        <f t="shared" si="60"/>
        <v>22</v>
      </c>
      <c r="G611" s="4" t="str">
        <f>"10"</f>
        <v>10</v>
      </c>
      <c r="H611" s="5">
        <v>0</v>
      </c>
      <c r="I611" s="3" t="s">
        <v>11</v>
      </c>
    </row>
    <row r="612" customHeight="1" spans="1:9">
      <c r="A612" s="3" t="str">
        <f t="shared" si="59"/>
        <v>0103</v>
      </c>
      <c r="B612" s="3" t="s">
        <v>13</v>
      </c>
      <c r="C612" s="3" t="str">
        <f>"蔡海洋"</f>
        <v>蔡海洋</v>
      </c>
      <c r="D612" s="3" t="str">
        <f t="shared" si="61"/>
        <v>女</v>
      </c>
      <c r="E612" s="3" t="str">
        <f>"2507012211"</f>
        <v>2507012211</v>
      </c>
      <c r="F612" s="3" t="str">
        <f t="shared" si="60"/>
        <v>22</v>
      </c>
      <c r="G612" s="4" t="str">
        <f>"11"</f>
        <v>11</v>
      </c>
      <c r="H612" s="5">
        <v>63.1</v>
      </c>
      <c r="I612" s="3"/>
    </row>
    <row r="613" customHeight="1" spans="1:9">
      <c r="A613" s="3" t="str">
        <f t="shared" si="59"/>
        <v>0103</v>
      </c>
      <c r="B613" s="3" t="s">
        <v>13</v>
      </c>
      <c r="C613" s="3" t="str">
        <f>"陆俞璇"</f>
        <v>陆俞璇</v>
      </c>
      <c r="D613" s="3" t="str">
        <f t="shared" si="61"/>
        <v>女</v>
      </c>
      <c r="E613" s="3" t="str">
        <f>"2507012212"</f>
        <v>2507012212</v>
      </c>
      <c r="F613" s="3" t="str">
        <f t="shared" si="60"/>
        <v>22</v>
      </c>
      <c r="G613" s="4" t="str">
        <f>"12"</f>
        <v>12</v>
      </c>
      <c r="H613" s="5">
        <v>59.4</v>
      </c>
      <c r="I613" s="3"/>
    </row>
    <row r="614" customHeight="1" spans="1:9">
      <c r="A614" s="3" t="str">
        <f t="shared" si="59"/>
        <v>0103</v>
      </c>
      <c r="B614" s="3" t="s">
        <v>13</v>
      </c>
      <c r="C614" s="3" t="str">
        <f>"李芸"</f>
        <v>李芸</v>
      </c>
      <c r="D614" s="3" t="str">
        <f t="shared" si="61"/>
        <v>女</v>
      </c>
      <c r="E614" s="3" t="str">
        <f>"2507012213"</f>
        <v>2507012213</v>
      </c>
      <c r="F614" s="3" t="str">
        <f t="shared" si="60"/>
        <v>22</v>
      </c>
      <c r="G614" s="4" t="str">
        <f>"13"</f>
        <v>13</v>
      </c>
      <c r="H614" s="5">
        <v>0</v>
      </c>
      <c r="I614" s="3" t="s">
        <v>11</v>
      </c>
    </row>
    <row r="615" customHeight="1" spans="1:9">
      <c r="A615" s="3" t="str">
        <f t="shared" si="59"/>
        <v>0103</v>
      </c>
      <c r="B615" s="3" t="s">
        <v>13</v>
      </c>
      <c r="C615" s="3" t="str">
        <f>"桑佳昕"</f>
        <v>桑佳昕</v>
      </c>
      <c r="D615" s="3" t="str">
        <f t="shared" si="61"/>
        <v>女</v>
      </c>
      <c r="E615" s="3" t="str">
        <f>"2507012214"</f>
        <v>2507012214</v>
      </c>
      <c r="F615" s="3" t="str">
        <f t="shared" si="60"/>
        <v>22</v>
      </c>
      <c r="G615" s="4" t="str">
        <f>"14"</f>
        <v>14</v>
      </c>
      <c r="H615" s="5">
        <v>26.4</v>
      </c>
      <c r="I615" s="3"/>
    </row>
    <row r="616" customHeight="1" spans="1:9">
      <c r="A616" s="3" t="str">
        <f t="shared" si="59"/>
        <v>0103</v>
      </c>
      <c r="B616" s="3" t="s">
        <v>13</v>
      </c>
      <c r="C616" s="3" t="str">
        <f>"李冬冬"</f>
        <v>李冬冬</v>
      </c>
      <c r="D616" s="3" t="str">
        <f>"男"</f>
        <v>男</v>
      </c>
      <c r="E616" s="3" t="str">
        <f>"2507012215"</f>
        <v>2507012215</v>
      </c>
      <c r="F616" s="3" t="str">
        <f t="shared" si="60"/>
        <v>22</v>
      </c>
      <c r="G616" s="4" t="str">
        <f>"15"</f>
        <v>15</v>
      </c>
      <c r="H616" s="5">
        <v>0</v>
      </c>
      <c r="I616" s="3" t="s">
        <v>11</v>
      </c>
    </row>
    <row r="617" customHeight="1" spans="1:9">
      <c r="A617" s="3" t="str">
        <f t="shared" si="59"/>
        <v>0103</v>
      </c>
      <c r="B617" s="3" t="s">
        <v>13</v>
      </c>
      <c r="C617" s="3" t="str">
        <f>"王志"</f>
        <v>王志</v>
      </c>
      <c r="D617" s="3" t="str">
        <f>"男"</f>
        <v>男</v>
      </c>
      <c r="E617" s="3" t="str">
        <f>"2507012216"</f>
        <v>2507012216</v>
      </c>
      <c r="F617" s="3" t="str">
        <f t="shared" si="60"/>
        <v>22</v>
      </c>
      <c r="G617" s="4" t="str">
        <f>"16"</f>
        <v>16</v>
      </c>
      <c r="H617" s="5">
        <v>34.9</v>
      </c>
      <c r="I617" s="3"/>
    </row>
    <row r="618" customHeight="1" spans="1:9">
      <c r="A618" s="3" t="str">
        <f t="shared" si="59"/>
        <v>0103</v>
      </c>
      <c r="B618" s="3" t="s">
        <v>13</v>
      </c>
      <c r="C618" s="3" t="str">
        <f>"张邻"</f>
        <v>张邻</v>
      </c>
      <c r="D618" s="3" t="str">
        <f t="shared" ref="D618:D637" si="62">"女"</f>
        <v>女</v>
      </c>
      <c r="E618" s="3" t="str">
        <f>"2507012217"</f>
        <v>2507012217</v>
      </c>
      <c r="F618" s="3" t="str">
        <f t="shared" si="60"/>
        <v>22</v>
      </c>
      <c r="G618" s="4" t="str">
        <f>"17"</f>
        <v>17</v>
      </c>
      <c r="H618" s="5">
        <v>0</v>
      </c>
      <c r="I618" s="3" t="s">
        <v>11</v>
      </c>
    </row>
    <row r="619" customHeight="1" spans="1:9">
      <c r="A619" s="3" t="str">
        <f t="shared" si="59"/>
        <v>0103</v>
      </c>
      <c r="B619" s="3" t="s">
        <v>13</v>
      </c>
      <c r="C619" s="3" t="str">
        <f>"常佳红"</f>
        <v>常佳红</v>
      </c>
      <c r="D619" s="3" t="str">
        <f t="shared" si="62"/>
        <v>女</v>
      </c>
      <c r="E619" s="3" t="str">
        <f>"2507012218"</f>
        <v>2507012218</v>
      </c>
      <c r="F619" s="3" t="str">
        <f t="shared" si="60"/>
        <v>22</v>
      </c>
      <c r="G619" s="4" t="str">
        <f>"18"</f>
        <v>18</v>
      </c>
      <c r="H619" s="5">
        <v>27.5</v>
      </c>
      <c r="I619" s="3"/>
    </row>
    <row r="620" customHeight="1" spans="1:9">
      <c r="A620" s="3" t="str">
        <f t="shared" si="59"/>
        <v>0103</v>
      </c>
      <c r="B620" s="3" t="s">
        <v>13</v>
      </c>
      <c r="C620" s="3" t="str">
        <f>"张杰"</f>
        <v>张杰</v>
      </c>
      <c r="D620" s="3" t="str">
        <f t="shared" si="62"/>
        <v>女</v>
      </c>
      <c r="E620" s="3" t="str">
        <f>"2507012219"</f>
        <v>2507012219</v>
      </c>
      <c r="F620" s="3" t="str">
        <f t="shared" si="60"/>
        <v>22</v>
      </c>
      <c r="G620" s="4" t="str">
        <f>"19"</f>
        <v>19</v>
      </c>
      <c r="H620" s="5">
        <v>0</v>
      </c>
      <c r="I620" s="3" t="s">
        <v>11</v>
      </c>
    </row>
    <row r="621" customHeight="1" spans="1:9">
      <c r="A621" s="3" t="str">
        <f t="shared" si="59"/>
        <v>0103</v>
      </c>
      <c r="B621" s="3" t="s">
        <v>13</v>
      </c>
      <c r="C621" s="3" t="str">
        <f>"魏薇"</f>
        <v>魏薇</v>
      </c>
      <c r="D621" s="3" t="str">
        <f t="shared" si="62"/>
        <v>女</v>
      </c>
      <c r="E621" s="3" t="str">
        <f>"2507012220"</f>
        <v>2507012220</v>
      </c>
      <c r="F621" s="3" t="str">
        <f t="shared" si="60"/>
        <v>22</v>
      </c>
      <c r="G621" s="4" t="str">
        <f>"20"</f>
        <v>20</v>
      </c>
      <c r="H621" s="5">
        <v>0</v>
      </c>
      <c r="I621" s="3" t="s">
        <v>11</v>
      </c>
    </row>
    <row r="622" customHeight="1" spans="1:9">
      <c r="A622" s="3" t="str">
        <f t="shared" si="59"/>
        <v>0103</v>
      </c>
      <c r="B622" s="3" t="s">
        <v>13</v>
      </c>
      <c r="C622" s="3" t="str">
        <f>"涂新新"</f>
        <v>涂新新</v>
      </c>
      <c r="D622" s="3" t="str">
        <f t="shared" si="62"/>
        <v>女</v>
      </c>
      <c r="E622" s="3" t="str">
        <f>"2507012221"</f>
        <v>2507012221</v>
      </c>
      <c r="F622" s="3" t="str">
        <f t="shared" si="60"/>
        <v>22</v>
      </c>
      <c r="G622" s="4" t="str">
        <f>"21"</f>
        <v>21</v>
      </c>
      <c r="H622" s="5">
        <v>27.8</v>
      </c>
      <c r="I622" s="3"/>
    </row>
    <row r="623" customHeight="1" spans="1:9">
      <c r="A623" s="3" t="str">
        <f t="shared" si="59"/>
        <v>0103</v>
      </c>
      <c r="B623" s="3" t="s">
        <v>13</v>
      </c>
      <c r="C623" s="3" t="str">
        <f>"沈丹"</f>
        <v>沈丹</v>
      </c>
      <c r="D623" s="3" t="str">
        <f t="shared" si="62"/>
        <v>女</v>
      </c>
      <c r="E623" s="3" t="str">
        <f>"2507012222"</f>
        <v>2507012222</v>
      </c>
      <c r="F623" s="3" t="str">
        <f t="shared" si="60"/>
        <v>22</v>
      </c>
      <c r="G623" s="4" t="str">
        <f>"22"</f>
        <v>22</v>
      </c>
      <c r="H623" s="5">
        <v>0</v>
      </c>
      <c r="I623" s="3" t="s">
        <v>11</v>
      </c>
    </row>
    <row r="624" customHeight="1" spans="1:9">
      <c r="A624" s="3" t="str">
        <f t="shared" si="59"/>
        <v>0103</v>
      </c>
      <c r="B624" s="3" t="s">
        <v>13</v>
      </c>
      <c r="C624" s="3" t="str">
        <f>"成沛芸"</f>
        <v>成沛芸</v>
      </c>
      <c r="D624" s="3" t="str">
        <f t="shared" si="62"/>
        <v>女</v>
      </c>
      <c r="E624" s="3" t="str">
        <f>"2507012223"</f>
        <v>2507012223</v>
      </c>
      <c r="F624" s="3" t="str">
        <f t="shared" si="60"/>
        <v>22</v>
      </c>
      <c r="G624" s="4" t="str">
        <f>"23"</f>
        <v>23</v>
      </c>
      <c r="H624" s="5">
        <v>60.7</v>
      </c>
      <c r="I624" s="3"/>
    </row>
    <row r="625" customHeight="1" spans="1:9">
      <c r="A625" s="3" t="str">
        <f t="shared" si="59"/>
        <v>0103</v>
      </c>
      <c r="B625" s="3" t="s">
        <v>13</v>
      </c>
      <c r="C625" s="3" t="str">
        <f>"魏文倩"</f>
        <v>魏文倩</v>
      </c>
      <c r="D625" s="3" t="str">
        <f t="shared" si="62"/>
        <v>女</v>
      </c>
      <c r="E625" s="3" t="str">
        <f>"2507012224"</f>
        <v>2507012224</v>
      </c>
      <c r="F625" s="3" t="str">
        <f t="shared" si="60"/>
        <v>22</v>
      </c>
      <c r="G625" s="4" t="str">
        <f>"24"</f>
        <v>24</v>
      </c>
      <c r="H625" s="5">
        <v>42.1</v>
      </c>
      <c r="I625" s="3"/>
    </row>
    <row r="626" customHeight="1" spans="1:9">
      <c r="A626" s="3" t="str">
        <f t="shared" si="59"/>
        <v>0103</v>
      </c>
      <c r="B626" s="3" t="s">
        <v>13</v>
      </c>
      <c r="C626" s="3" t="str">
        <f>"董稳稳"</f>
        <v>董稳稳</v>
      </c>
      <c r="D626" s="3" t="str">
        <f t="shared" si="62"/>
        <v>女</v>
      </c>
      <c r="E626" s="3" t="str">
        <f>"2507012225"</f>
        <v>2507012225</v>
      </c>
      <c r="F626" s="3" t="str">
        <f t="shared" si="60"/>
        <v>22</v>
      </c>
      <c r="G626" s="4" t="str">
        <f>"25"</f>
        <v>25</v>
      </c>
      <c r="H626" s="5">
        <v>32.3</v>
      </c>
      <c r="I626" s="3"/>
    </row>
    <row r="627" customHeight="1" spans="1:9">
      <c r="A627" s="3" t="str">
        <f t="shared" si="59"/>
        <v>0103</v>
      </c>
      <c r="B627" s="3" t="s">
        <v>13</v>
      </c>
      <c r="C627" s="3" t="str">
        <f>"王瑞"</f>
        <v>王瑞</v>
      </c>
      <c r="D627" s="3" t="str">
        <f t="shared" si="62"/>
        <v>女</v>
      </c>
      <c r="E627" s="3" t="str">
        <f>"2507012226"</f>
        <v>2507012226</v>
      </c>
      <c r="F627" s="3" t="str">
        <f t="shared" si="60"/>
        <v>22</v>
      </c>
      <c r="G627" s="4" t="str">
        <f>"26"</f>
        <v>26</v>
      </c>
      <c r="H627" s="5">
        <v>54.9</v>
      </c>
      <c r="I627" s="3"/>
    </row>
    <row r="628" customHeight="1" spans="1:9">
      <c r="A628" s="3" t="str">
        <f t="shared" si="59"/>
        <v>0103</v>
      </c>
      <c r="B628" s="3" t="s">
        <v>13</v>
      </c>
      <c r="C628" s="3" t="str">
        <f>"韦亚楠"</f>
        <v>韦亚楠</v>
      </c>
      <c r="D628" s="3" t="str">
        <f t="shared" si="62"/>
        <v>女</v>
      </c>
      <c r="E628" s="3" t="str">
        <f>"2507012227"</f>
        <v>2507012227</v>
      </c>
      <c r="F628" s="3" t="str">
        <f t="shared" si="60"/>
        <v>22</v>
      </c>
      <c r="G628" s="4" t="str">
        <f>"27"</f>
        <v>27</v>
      </c>
      <c r="H628" s="5">
        <v>0</v>
      </c>
      <c r="I628" s="3" t="s">
        <v>11</v>
      </c>
    </row>
    <row r="629" customHeight="1" spans="1:9">
      <c r="A629" s="3" t="str">
        <f t="shared" si="59"/>
        <v>0103</v>
      </c>
      <c r="B629" s="3" t="s">
        <v>13</v>
      </c>
      <c r="C629" s="3" t="str">
        <f>"陈琳聪"</f>
        <v>陈琳聪</v>
      </c>
      <c r="D629" s="3" t="str">
        <f t="shared" si="62"/>
        <v>女</v>
      </c>
      <c r="E629" s="3" t="str">
        <f>"2507012228"</f>
        <v>2507012228</v>
      </c>
      <c r="F629" s="3" t="str">
        <f t="shared" si="60"/>
        <v>22</v>
      </c>
      <c r="G629" s="4" t="str">
        <f>"28"</f>
        <v>28</v>
      </c>
      <c r="H629" s="5">
        <v>0</v>
      </c>
      <c r="I629" s="3" t="s">
        <v>11</v>
      </c>
    </row>
    <row r="630" customHeight="1" spans="1:9">
      <c r="A630" s="3" t="str">
        <f t="shared" si="59"/>
        <v>0103</v>
      </c>
      <c r="B630" s="3" t="s">
        <v>13</v>
      </c>
      <c r="C630" s="3" t="str">
        <f>"吴双"</f>
        <v>吴双</v>
      </c>
      <c r="D630" s="3" t="str">
        <f t="shared" si="62"/>
        <v>女</v>
      </c>
      <c r="E630" s="3" t="str">
        <f>"2507012229"</f>
        <v>2507012229</v>
      </c>
      <c r="F630" s="3" t="str">
        <f t="shared" si="60"/>
        <v>22</v>
      </c>
      <c r="G630" s="4" t="str">
        <f>"29"</f>
        <v>29</v>
      </c>
      <c r="H630" s="5">
        <v>0</v>
      </c>
      <c r="I630" s="3" t="s">
        <v>11</v>
      </c>
    </row>
    <row r="631" customHeight="1" spans="1:9">
      <c r="A631" s="3" t="str">
        <f t="shared" si="59"/>
        <v>0103</v>
      </c>
      <c r="B631" s="3" t="s">
        <v>13</v>
      </c>
      <c r="C631" s="3" t="str">
        <f>"王何昕"</f>
        <v>王何昕</v>
      </c>
      <c r="D631" s="3" t="str">
        <f t="shared" si="62"/>
        <v>女</v>
      </c>
      <c r="E631" s="3" t="str">
        <f>"2507012230"</f>
        <v>2507012230</v>
      </c>
      <c r="F631" s="3" t="str">
        <f t="shared" si="60"/>
        <v>22</v>
      </c>
      <c r="G631" s="4" t="str">
        <f>"30"</f>
        <v>30</v>
      </c>
      <c r="H631" s="5">
        <v>0</v>
      </c>
      <c r="I631" s="3" t="s">
        <v>11</v>
      </c>
    </row>
    <row r="632" customHeight="1" spans="1:9">
      <c r="A632" s="3" t="str">
        <f t="shared" si="59"/>
        <v>0103</v>
      </c>
      <c r="B632" s="3" t="s">
        <v>13</v>
      </c>
      <c r="C632" s="3" t="str">
        <f>"孟梦"</f>
        <v>孟梦</v>
      </c>
      <c r="D632" s="3" t="str">
        <f t="shared" si="62"/>
        <v>女</v>
      </c>
      <c r="E632" s="3" t="str">
        <f>"2507012231"</f>
        <v>2507012231</v>
      </c>
      <c r="F632" s="3" t="str">
        <f t="shared" si="60"/>
        <v>22</v>
      </c>
      <c r="G632" s="4" t="str">
        <f>"31"</f>
        <v>31</v>
      </c>
      <c r="H632" s="5">
        <v>40.9</v>
      </c>
      <c r="I632" s="3"/>
    </row>
    <row r="633" customHeight="1" spans="1:9">
      <c r="A633" s="3" t="str">
        <f t="shared" si="59"/>
        <v>0103</v>
      </c>
      <c r="B633" s="3" t="s">
        <v>13</v>
      </c>
      <c r="C633" s="3" t="str">
        <f>"房雨菲"</f>
        <v>房雨菲</v>
      </c>
      <c r="D633" s="3" t="str">
        <f t="shared" si="62"/>
        <v>女</v>
      </c>
      <c r="E633" s="3" t="str">
        <f>"2507012301"</f>
        <v>2507012301</v>
      </c>
      <c r="F633" s="3" t="str">
        <f t="shared" ref="F633:F663" si="63">"23"</f>
        <v>23</v>
      </c>
      <c r="G633" s="4" t="str">
        <f>"01"</f>
        <v>01</v>
      </c>
      <c r="H633" s="5">
        <v>68.2</v>
      </c>
      <c r="I633" s="3"/>
    </row>
    <row r="634" customHeight="1" spans="1:9">
      <c r="A634" s="3" t="str">
        <f t="shared" si="59"/>
        <v>0103</v>
      </c>
      <c r="B634" s="3" t="s">
        <v>13</v>
      </c>
      <c r="C634" s="3" t="str">
        <f>"张乐"</f>
        <v>张乐</v>
      </c>
      <c r="D634" s="3" t="str">
        <f t="shared" si="62"/>
        <v>女</v>
      </c>
      <c r="E634" s="3" t="str">
        <f>"2507012302"</f>
        <v>2507012302</v>
      </c>
      <c r="F634" s="3" t="str">
        <f t="shared" si="63"/>
        <v>23</v>
      </c>
      <c r="G634" s="4" t="str">
        <f>"02"</f>
        <v>02</v>
      </c>
      <c r="H634" s="5">
        <v>31.2</v>
      </c>
      <c r="I634" s="3"/>
    </row>
    <row r="635" customHeight="1" spans="1:9">
      <c r="A635" s="3" t="str">
        <f t="shared" si="59"/>
        <v>0103</v>
      </c>
      <c r="B635" s="3" t="s">
        <v>13</v>
      </c>
      <c r="C635" s="3" t="str">
        <f>"刘新蒙"</f>
        <v>刘新蒙</v>
      </c>
      <c r="D635" s="3" t="str">
        <f t="shared" si="62"/>
        <v>女</v>
      </c>
      <c r="E635" s="3" t="str">
        <f>"2507012303"</f>
        <v>2507012303</v>
      </c>
      <c r="F635" s="3" t="str">
        <f t="shared" si="63"/>
        <v>23</v>
      </c>
      <c r="G635" s="4" t="str">
        <f>"03"</f>
        <v>03</v>
      </c>
      <c r="H635" s="5">
        <v>54.3</v>
      </c>
      <c r="I635" s="3"/>
    </row>
    <row r="636" customHeight="1" spans="1:9">
      <c r="A636" s="3" t="str">
        <f t="shared" si="59"/>
        <v>0103</v>
      </c>
      <c r="B636" s="3" t="s">
        <v>13</v>
      </c>
      <c r="C636" s="3" t="str">
        <f>"尹雅"</f>
        <v>尹雅</v>
      </c>
      <c r="D636" s="3" t="str">
        <f t="shared" si="62"/>
        <v>女</v>
      </c>
      <c r="E636" s="3" t="str">
        <f>"2507012304"</f>
        <v>2507012304</v>
      </c>
      <c r="F636" s="3" t="str">
        <f t="shared" si="63"/>
        <v>23</v>
      </c>
      <c r="G636" s="4" t="str">
        <f>"04"</f>
        <v>04</v>
      </c>
      <c r="H636" s="5">
        <v>64.1</v>
      </c>
      <c r="I636" s="3"/>
    </row>
    <row r="637" customHeight="1" spans="1:9">
      <c r="A637" s="3" t="str">
        <f t="shared" si="59"/>
        <v>0103</v>
      </c>
      <c r="B637" s="3" t="s">
        <v>13</v>
      </c>
      <c r="C637" s="3" t="str">
        <f>"潘玉叶"</f>
        <v>潘玉叶</v>
      </c>
      <c r="D637" s="3" t="str">
        <f t="shared" si="62"/>
        <v>女</v>
      </c>
      <c r="E637" s="3" t="str">
        <f>"2507012305"</f>
        <v>2507012305</v>
      </c>
      <c r="F637" s="3" t="str">
        <f t="shared" si="63"/>
        <v>23</v>
      </c>
      <c r="G637" s="4" t="str">
        <f>"05"</f>
        <v>05</v>
      </c>
      <c r="H637" s="5">
        <v>0</v>
      </c>
      <c r="I637" s="3" t="s">
        <v>11</v>
      </c>
    </row>
    <row r="638" customHeight="1" spans="1:9">
      <c r="A638" s="3" t="str">
        <f t="shared" si="59"/>
        <v>0103</v>
      </c>
      <c r="B638" s="3" t="s">
        <v>13</v>
      </c>
      <c r="C638" s="3" t="str">
        <f>"王金"</f>
        <v>王金</v>
      </c>
      <c r="D638" s="3" t="str">
        <f>"男"</f>
        <v>男</v>
      </c>
      <c r="E638" s="3" t="str">
        <f>"2507012306"</f>
        <v>2507012306</v>
      </c>
      <c r="F638" s="3" t="str">
        <f t="shared" si="63"/>
        <v>23</v>
      </c>
      <c r="G638" s="4" t="str">
        <f>"06"</f>
        <v>06</v>
      </c>
      <c r="H638" s="5">
        <v>28.8</v>
      </c>
      <c r="I638" s="3"/>
    </row>
    <row r="639" customHeight="1" spans="1:9">
      <c r="A639" s="3" t="str">
        <f t="shared" si="59"/>
        <v>0103</v>
      </c>
      <c r="B639" s="3" t="s">
        <v>13</v>
      </c>
      <c r="C639" s="3" t="str">
        <f>"于龙洋"</f>
        <v>于龙洋</v>
      </c>
      <c r="D639" s="3" t="str">
        <f>"女"</f>
        <v>女</v>
      </c>
      <c r="E639" s="3" t="str">
        <f>"2507012307"</f>
        <v>2507012307</v>
      </c>
      <c r="F639" s="3" t="str">
        <f t="shared" si="63"/>
        <v>23</v>
      </c>
      <c r="G639" s="4" t="str">
        <f>"07"</f>
        <v>07</v>
      </c>
      <c r="H639" s="5">
        <v>0</v>
      </c>
      <c r="I639" s="3" t="s">
        <v>11</v>
      </c>
    </row>
    <row r="640" customHeight="1" spans="1:9">
      <c r="A640" s="3" t="str">
        <f t="shared" si="59"/>
        <v>0103</v>
      </c>
      <c r="B640" s="3" t="s">
        <v>13</v>
      </c>
      <c r="C640" s="3" t="str">
        <f>"神晴晴"</f>
        <v>神晴晴</v>
      </c>
      <c r="D640" s="3" t="str">
        <f>"女"</f>
        <v>女</v>
      </c>
      <c r="E640" s="3" t="str">
        <f>"2507012308"</f>
        <v>2507012308</v>
      </c>
      <c r="F640" s="3" t="str">
        <f t="shared" si="63"/>
        <v>23</v>
      </c>
      <c r="G640" s="4" t="str">
        <f>"08"</f>
        <v>08</v>
      </c>
      <c r="H640" s="5">
        <v>0</v>
      </c>
      <c r="I640" s="3" t="s">
        <v>11</v>
      </c>
    </row>
    <row r="641" customHeight="1" spans="1:9">
      <c r="A641" s="3" t="str">
        <f t="shared" si="59"/>
        <v>0103</v>
      </c>
      <c r="B641" s="3" t="s">
        <v>13</v>
      </c>
      <c r="C641" s="3" t="str">
        <f>"张艳红"</f>
        <v>张艳红</v>
      </c>
      <c r="D641" s="3" t="str">
        <f>"女"</f>
        <v>女</v>
      </c>
      <c r="E641" s="3" t="str">
        <f>"2507012309"</f>
        <v>2507012309</v>
      </c>
      <c r="F641" s="3" t="str">
        <f t="shared" si="63"/>
        <v>23</v>
      </c>
      <c r="G641" s="4" t="str">
        <f>"09"</f>
        <v>09</v>
      </c>
      <c r="H641" s="5">
        <v>33.1</v>
      </c>
      <c r="I641" s="3"/>
    </row>
    <row r="642" customHeight="1" spans="1:9">
      <c r="A642" s="3" t="str">
        <f t="shared" ref="A642:A663" si="64">"0103"</f>
        <v>0103</v>
      </c>
      <c r="B642" s="3" t="s">
        <v>13</v>
      </c>
      <c r="C642" s="3" t="str">
        <f>"吕致远"</f>
        <v>吕致远</v>
      </c>
      <c r="D642" s="3" t="str">
        <f>"男"</f>
        <v>男</v>
      </c>
      <c r="E642" s="3" t="str">
        <f>"2507012310"</f>
        <v>2507012310</v>
      </c>
      <c r="F642" s="3" t="str">
        <f t="shared" si="63"/>
        <v>23</v>
      </c>
      <c r="G642" s="4" t="str">
        <f>"10"</f>
        <v>10</v>
      </c>
      <c r="H642" s="5">
        <v>0</v>
      </c>
      <c r="I642" s="3" t="s">
        <v>11</v>
      </c>
    </row>
    <row r="643" customHeight="1" spans="1:9">
      <c r="A643" s="3" t="str">
        <f t="shared" si="64"/>
        <v>0103</v>
      </c>
      <c r="B643" s="3" t="s">
        <v>13</v>
      </c>
      <c r="C643" s="3" t="str">
        <f>"满桥"</f>
        <v>满桥</v>
      </c>
      <c r="D643" s="3" t="str">
        <f>"男"</f>
        <v>男</v>
      </c>
      <c r="E643" s="3" t="str">
        <f>"2507012311"</f>
        <v>2507012311</v>
      </c>
      <c r="F643" s="3" t="str">
        <f t="shared" si="63"/>
        <v>23</v>
      </c>
      <c r="G643" s="4" t="str">
        <f>"11"</f>
        <v>11</v>
      </c>
      <c r="H643" s="5">
        <v>19.7</v>
      </c>
      <c r="I643" s="3"/>
    </row>
    <row r="644" customHeight="1" spans="1:9">
      <c r="A644" s="3" t="str">
        <f t="shared" si="64"/>
        <v>0103</v>
      </c>
      <c r="B644" s="3" t="s">
        <v>13</v>
      </c>
      <c r="C644" s="3" t="str">
        <f>"孙永青"</f>
        <v>孙永青</v>
      </c>
      <c r="D644" s="3" t="str">
        <f t="shared" ref="D644:D652" si="65">"女"</f>
        <v>女</v>
      </c>
      <c r="E644" s="3" t="str">
        <f>"2507012312"</f>
        <v>2507012312</v>
      </c>
      <c r="F644" s="3" t="str">
        <f t="shared" si="63"/>
        <v>23</v>
      </c>
      <c r="G644" s="4" t="str">
        <f>"12"</f>
        <v>12</v>
      </c>
      <c r="H644" s="5">
        <v>0</v>
      </c>
      <c r="I644" s="3" t="s">
        <v>11</v>
      </c>
    </row>
    <row r="645" customHeight="1" spans="1:9">
      <c r="A645" s="3" t="str">
        <f t="shared" si="64"/>
        <v>0103</v>
      </c>
      <c r="B645" s="3" t="s">
        <v>13</v>
      </c>
      <c r="C645" s="3" t="str">
        <f>"徐丽丽"</f>
        <v>徐丽丽</v>
      </c>
      <c r="D645" s="3" t="str">
        <f t="shared" si="65"/>
        <v>女</v>
      </c>
      <c r="E645" s="3" t="str">
        <f>"2507012313"</f>
        <v>2507012313</v>
      </c>
      <c r="F645" s="3" t="str">
        <f t="shared" si="63"/>
        <v>23</v>
      </c>
      <c r="G645" s="4" t="str">
        <f>"13"</f>
        <v>13</v>
      </c>
      <c r="H645" s="5">
        <v>0</v>
      </c>
      <c r="I645" s="3" t="s">
        <v>11</v>
      </c>
    </row>
    <row r="646" customHeight="1" spans="1:9">
      <c r="A646" s="3" t="str">
        <f t="shared" si="64"/>
        <v>0103</v>
      </c>
      <c r="B646" s="3" t="s">
        <v>13</v>
      </c>
      <c r="C646" s="3" t="str">
        <f>"邵丹"</f>
        <v>邵丹</v>
      </c>
      <c r="D646" s="3" t="str">
        <f t="shared" si="65"/>
        <v>女</v>
      </c>
      <c r="E646" s="3" t="str">
        <f>"2507012314"</f>
        <v>2507012314</v>
      </c>
      <c r="F646" s="3" t="str">
        <f t="shared" si="63"/>
        <v>23</v>
      </c>
      <c r="G646" s="4" t="str">
        <f>"14"</f>
        <v>14</v>
      </c>
      <c r="H646" s="5">
        <v>0</v>
      </c>
      <c r="I646" s="3" t="s">
        <v>11</v>
      </c>
    </row>
    <row r="647" customHeight="1" spans="1:9">
      <c r="A647" s="3" t="str">
        <f t="shared" si="64"/>
        <v>0103</v>
      </c>
      <c r="B647" s="3" t="s">
        <v>13</v>
      </c>
      <c r="C647" s="3" t="str">
        <f>"方文"</f>
        <v>方文</v>
      </c>
      <c r="D647" s="3" t="str">
        <f t="shared" si="65"/>
        <v>女</v>
      </c>
      <c r="E647" s="3" t="str">
        <f>"2507012315"</f>
        <v>2507012315</v>
      </c>
      <c r="F647" s="3" t="str">
        <f t="shared" si="63"/>
        <v>23</v>
      </c>
      <c r="G647" s="4" t="str">
        <f>"15"</f>
        <v>15</v>
      </c>
      <c r="H647" s="5">
        <v>0</v>
      </c>
      <c r="I647" s="3" t="s">
        <v>11</v>
      </c>
    </row>
    <row r="648" customHeight="1" spans="1:9">
      <c r="A648" s="3" t="str">
        <f t="shared" si="64"/>
        <v>0103</v>
      </c>
      <c r="B648" s="3" t="s">
        <v>13</v>
      </c>
      <c r="C648" s="3" t="str">
        <f>"张佳璐"</f>
        <v>张佳璐</v>
      </c>
      <c r="D648" s="3" t="str">
        <f t="shared" si="65"/>
        <v>女</v>
      </c>
      <c r="E648" s="3" t="str">
        <f>"2507012316"</f>
        <v>2507012316</v>
      </c>
      <c r="F648" s="3" t="str">
        <f t="shared" si="63"/>
        <v>23</v>
      </c>
      <c r="G648" s="4" t="str">
        <f>"16"</f>
        <v>16</v>
      </c>
      <c r="H648" s="5">
        <v>49.2</v>
      </c>
      <c r="I648" s="3"/>
    </row>
    <row r="649" customHeight="1" spans="1:9">
      <c r="A649" s="3" t="str">
        <f t="shared" si="64"/>
        <v>0103</v>
      </c>
      <c r="B649" s="3" t="s">
        <v>13</v>
      </c>
      <c r="C649" s="3" t="str">
        <f>"王滢"</f>
        <v>王滢</v>
      </c>
      <c r="D649" s="3" t="str">
        <f t="shared" si="65"/>
        <v>女</v>
      </c>
      <c r="E649" s="3" t="str">
        <f>"2507012317"</f>
        <v>2507012317</v>
      </c>
      <c r="F649" s="3" t="str">
        <f t="shared" si="63"/>
        <v>23</v>
      </c>
      <c r="G649" s="4" t="str">
        <f>"17"</f>
        <v>17</v>
      </c>
      <c r="H649" s="5">
        <v>68.5</v>
      </c>
      <c r="I649" s="3"/>
    </row>
    <row r="650" customHeight="1" spans="1:9">
      <c r="A650" s="3" t="str">
        <f t="shared" si="64"/>
        <v>0103</v>
      </c>
      <c r="B650" s="3" t="s">
        <v>13</v>
      </c>
      <c r="C650" s="3" t="str">
        <f>"李曼"</f>
        <v>李曼</v>
      </c>
      <c r="D650" s="3" t="str">
        <f t="shared" si="65"/>
        <v>女</v>
      </c>
      <c r="E650" s="3" t="str">
        <f>"2507012318"</f>
        <v>2507012318</v>
      </c>
      <c r="F650" s="3" t="str">
        <f t="shared" si="63"/>
        <v>23</v>
      </c>
      <c r="G650" s="4" t="str">
        <f>"18"</f>
        <v>18</v>
      </c>
      <c r="H650" s="5">
        <v>27.6</v>
      </c>
      <c r="I650" s="3"/>
    </row>
    <row r="651" customHeight="1" spans="1:9">
      <c r="A651" s="3" t="str">
        <f t="shared" si="64"/>
        <v>0103</v>
      </c>
      <c r="B651" s="3" t="s">
        <v>13</v>
      </c>
      <c r="C651" s="3" t="str">
        <f>"王影"</f>
        <v>王影</v>
      </c>
      <c r="D651" s="3" t="str">
        <f t="shared" si="65"/>
        <v>女</v>
      </c>
      <c r="E651" s="3" t="str">
        <f>"2507012319"</f>
        <v>2507012319</v>
      </c>
      <c r="F651" s="3" t="str">
        <f t="shared" si="63"/>
        <v>23</v>
      </c>
      <c r="G651" s="4" t="str">
        <f>"19"</f>
        <v>19</v>
      </c>
      <c r="H651" s="5">
        <v>40</v>
      </c>
      <c r="I651" s="3"/>
    </row>
    <row r="652" customHeight="1" spans="1:9">
      <c r="A652" s="3" t="str">
        <f t="shared" si="64"/>
        <v>0103</v>
      </c>
      <c r="B652" s="3" t="s">
        <v>13</v>
      </c>
      <c r="C652" s="3" t="str">
        <f>"杜浩然"</f>
        <v>杜浩然</v>
      </c>
      <c r="D652" s="3" t="str">
        <f t="shared" si="65"/>
        <v>女</v>
      </c>
      <c r="E652" s="3" t="str">
        <f>"2507012320"</f>
        <v>2507012320</v>
      </c>
      <c r="F652" s="3" t="str">
        <f t="shared" si="63"/>
        <v>23</v>
      </c>
      <c r="G652" s="4" t="str">
        <f>"20"</f>
        <v>20</v>
      </c>
      <c r="H652" s="5">
        <v>28.9</v>
      </c>
      <c r="I652" s="3"/>
    </row>
    <row r="653" customHeight="1" spans="1:9">
      <c r="A653" s="3" t="str">
        <f t="shared" si="64"/>
        <v>0103</v>
      </c>
      <c r="B653" s="3" t="s">
        <v>13</v>
      </c>
      <c r="C653" s="3" t="str">
        <f>"朱本杰"</f>
        <v>朱本杰</v>
      </c>
      <c r="D653" s="3" t="str">
        <f>"男"</f>
        <v>男</v>
      </c>
      <c r="E653" s="3" t="str">
        <f>"2507012321"</f>
        <v>2507012321</v>
      </c>
      <c r="F653" s="3" t="str">
        <f t="shared" si="63"/>
        <v>23</v>
      </c>
      <c r="G653" s="4" t="str">
        <f>"21"</f>
        <v>21</v>
      </c>
      <c r="H653" s="5">
        <v>36.1</v>
      </c>
      <c r="I653" s="3"/>
    </row>
    <row r="654" customHeight="1" spans="1:9">
      <c r="A654" s="3" t="str">
        <f t="shared" si="64"/>
        <v>0103</v>
      </c>
      <c r="B654" s="3" t="s">
        <v>13</v>
      </c>
      <c r="C654" s="3" t="str">
        <f>"杨艳"</f>
        <v>杨艳</v>
      </c>
      <c r="D654" s="3" t="str">
        <f>"女"</f>
        <v>女</v>
      </c>
      <c r="E654" s="3" t="str">
        <f>"2507012322"</f>
        <v>2507012322</v>
      </c>
      <c r="F654" s="3" t="str">
        <f t="shared" si="63"/>
        <v>23</v>
      </c>
      <c r="G654" s="4" t="str">
        <f>"22"</f>
        <v>22</v>
      </c>
      <c r="H654" s="5">
        <v>21.1</v>
      </c>
      <c r="I654" s="3"/>
    </row>
    <row r="655" customHeight="1" spans="1:9">
      <c r="A655" s="3" t="str">
        <f t="shared" si="64"/>
        <v>0103</v>
      </c>
      <c r="B655" s="3" t="s">
        <v>13</v>
      </c>
      <c r="C655" s="3" t="str">
        <f>"黄姜林"</f>
        <v>黄姜林</v>
      </c>
      <c r="D655" s="3" t="str">
        <f>"男"</f>
        <v>男</v>
      </c>
      <c r="E655" s="3" t="str">
        <f>"2507012323"</f>
        <v>2507012323</v>
      </c>
      <c r="F655" s="3" t="str">
        <f t="shared" si="63"/>
        <v>23</v>
      </c>
      <c r="G655" s="4" t="str">
        <f>"23"</f>
        <v>23</v>
      </c>
      <c r="H655" s="5">
        <v>60.6</v>
      </c>
      <c r="I655" s="3"/>
    </row>
    <row r="656" customHeight="1" spans="1:9">
      <c r="A656" s="3" t="str">
        <f t="shared" si="64"/>
        <v>0103</v>
      </c>
      <c r="B656" s="3" t="s">
        <v>13</v>
      </c>
      <c r="C656" s="3" t="str">
        <f>"段莉莉"</f>
        <v>段莉莉</v>
      </c>
      <c r="D656" s="3" t="str">
        <f>"女"</f>
        <v>女</v>
      </c>
      <c r="E656" s="3" t="str">
        <f>"2507012324"</f>
        <v>2507012324</v>
      </c>
      <c r="F656" s="3" t="str">
        <f t="shared" si="63"/>
        <v>23</v>
      </c>
      <c r="G656" s="4" t="str">
        <f>"24"</f>
        <v>24</v>
      </c>
      <c r="H656" s="5">
        <v>50.2</v>
      </c>
      <c r="I656" s="3"/>
    </row>
    <row r="657" customHeight="1" spans="1:9">
      <c r="A657" s="3" t="str">
        <f t="shared" si="64"/>
        <v>0103</v>
      </c>
      <c r="B657" s="3" t="s">
        <v>13</v>
      </c>
      <c r="C657" s="3" t="str">
        <f>"张瑞芳"</f>
        <v>张瑞芳</v>
      </c>
      <c r="D657" s="3" t="str">
        <f>"男"</f>
        <v>男</v>
      </c>
      <c r="E657" s="3" t="str">
        <f>"2507012325"</f>
        <v>2507012325</v>
      </c>
      <c r="F657" s="3" t="str">
        <f t="shared" si="63"/>
        <v>23</v>
      </c>
      <c r="G657" s="4" t="str">
        <f>"25"</f>
        <v>25</v>
      </c>
      <c r="H657" s="5">
        <v>43.4</v>
      </c>
      <c r="I657" s="3"/>
    </row>
    <row r="658" customHeight="1" spans="1:9">
      <c r="A658" s="3" t="str">
        <f t="shared" si="64"/>
        <v>0103</v>
      </c>
      <c r="B658" s="3" t="s">
        <v>13</v>
      </c>
      <c r="C658" s="3" t="str">
        <f>"徐畅"</f>
        <v>徐畅</v>
      </c>
      <c r="D658" s="3" t="str">
        <f t="shared" ref="D658:D667" si="66">"女"</f>
        <v>女</v>
      </c>
      <c r="E658" s="3" t="str">
        <f>"2507012326"</f>
        <v>2507012326</v>
      </c>
      <c r="F658" s="3" t="str">
        <f t="shared" si="63"/>
        <v>23</v>
      </c>
      <c r="G658" s="4" t="str">
        <f>"26"</f>
        <v>26</v>
      </c>
      <c r="H658" s="5">
        <v>0</v>
      </c>
      <c r="I658" s="3" t="s">
        <v>11</v>
      </c>
    </row>
    <row r="659" customHeight="1" spans="1:9">
      <c r="A659" s="3" t="str">
        <f t="shared" si="64"/>
        <v>0103</v>
      </c>
      <c r="B659" s="3" t="s">
        <v>13</v>
      </c>
      <c r="C659" s="3" t="str">
        <f>"周雪"</f>
        <v>周雪</v>
      </c>
      <c r="D659" s="3" t="str">
        <f t="shared" si="66"/>
        <v>女</v>
      </c>
      <c r="E659" s="3" t="str">
        <f>"2507012327"</f>
        <v>2507012327</v>
      </c>
      <c r="F659" s="3" t="str">
        <f t="shared" si="63"/>
        <v>23</v>
      </c>
      <c r="G659" s="4" t="str">
        <f>"27"</f>
        <v>27</v>
      </c>
      <c r="H659" s="5">
        <v>25.9</v>
      </c>
      <c r="I659" s="3"/>
    </row>
    <row r="660" customHeight="1" spans="1:9">
      <c r="A660" s="3" t="str">
        <f t="shared" si="64"/>
        <v>0103</v>
      </c>
      <c r="B660" s="3" t="s">
        <v>13</v>
      </c>
      <c r="C660" s="3" t="str">
        <f>"秦佳丽"</f>
        <v>秦佳丽</v>
      </c>
      <c r="D660" s="3" t="str">
        <f t="shared" si="66"/>
        <v>女</v>
      </c>
      <c r="E660" s="3" t="str">
        <f>"2507012328"</f>
        <v>2507012328</v>
      </c>
      <c r="F660" s="3" t="str">
        <f t="shared" si="63"/>
        <v>23</v>
      </c>
      <c r="G660" s="4" t="str">
        <f>"28"</f>
        <v>28</v>
      </c>
      <c r="H660" s="5">
        <v>52.3</v>
      </c>
      <c r="I660" s="3"/>
    </row>
    <row r="661" customHeight="1" spans="1:9">
      <c r="A661" s="3" t="str">
        <f t="shared" si="64"/>
        <v>0103</v>
      </c>
      <c r="B661" s="3" t="s">
        <v>13</v>
      </c>
      <c r="C661" s="3" t="str">
        <f>"刘珂"</f>
        <v>刘珂</v>
      </c>
      <c r="D661" s="3" t="str">
        <f t="shared" si="66"/>
        <v>女</v>
      </c>
      <c r="E661" s="3" t="str">
        <f>"2507012329"</f>
        <v>2507012329</v>
      </c>
      <c r="F661" s="3" t="str">
        <f t="shared" si="63"/>
        <v>23</v>
      </c>
      <c r="G661" s="4" t="str">
        <f>"29"</f>
        <v>29</v>
      </c>
      <c r="H661" s="5">
        <v>33.6</v>
      </c>
      <c r="I661" s="3"/>
    </row>
    <row r="662" customHeight="1" spans="1:9">
      <c r="A662" s="3" t="str">
        <f t="shared" si="64"/>
        <v>0103</v>
      </c>
      <c r="B662" s="3" t="s">
        <v>13</v>
      </c>
      <c r="C662" s="3" t="str">
        <f>"王奕"</f>
        <v>王奕</v>
      </c>
      <c r="D662" s="3" t="str">
        <f t="shared" si="66"/>
        <v>女</v>
      </c>
      <c r="E662" s="3" t="str">
        <f>"2507012330"</f>
        <v>2507012330</v>
      </c>
      <c r="F662" s="3" t="str">
        <f t="shared" si="63"/>
        <v>23</v>
      </c>
      <c r="G662" s="4" t="str">
        <f>"30"</f>
        <v>30</v>
      </c>
      <c r="H662" s="5">
        <v>65.8</v>
      </c>
      <c r="I662" s="3"/>
    </row>
    <row r="663" customHeight="1" spans="1:9">
      <c r="A663" s="3" t="str">
        <f t="shared" si="64"/>
        <v>0103</v>
      </c>
      <c r="B663" s="3" t="s">
        <v>13</v>
      </c>
      <c r="C663" s="3" t="str">
        <f>"邢晨"</f>
        <v>邢晨</v>
      </c>
      <c r="D663" s="3" t="str">
        <f t="shared" si="66"/>
        <v>女</v>
      </c>
      <c r="E663" s="3" t="str">
        <f>"2507012331"</f>
        <v>2507012331</v>
      </c>
      <c r="F663" s="3" t="str">
        <f t="shared" si="63"/>
        <v>23</v>
      </c>
      <c r="G663" s="4" t="str">
        <f>"31"</f>
        <v>31</v>
      </c>
      <c r="H663" s="5">
        <v>54.3</v>
      </c>
      <c r="I663" s="3"/>
    </row>
    <row r="664" customHeight="1" spans="1:9">
      <c r="A664" s="3" t="str">
        <f t="shared" ref="A664:A687" si="67">"0119"</f>
        <v>0119</v>
      </c>
      <c r="B664" s="3" t="s">
        <v>14</v>
      </c>
      <c r="C664" s="3" t="str">
        <f>"王雪杉"</f>
        <v>王雪杉</v>
      </c>
      <c r="D664" s="3" t="str">
        <f t="shared" si="66"/>
        <v>女</v>
      </c>
      <c r="E664" s="3" t="str">
        <f>"2507012401"</f>
        <v>2507012401</v>
      </c>
      <c r="F664" s="3" t="str">
        <f t="shared" ref="F664:F687" si="68">"24"</f>
        <v>24</v>
      </c>
      <c r="G664" s="4" t="str">
        <f>"01"</f>
        <v>01</v>
      </c>
      <c r="H664" s="5">
        <v>0</v>
      </c>
      <c r="I664" s="3" t="s">
        <v>11</v>
      </c>
    </row>
    <row r="665" customHeight="1" spans="1:9">
      <c r="A665" s="3" t="str">
        <f t="shared" si="67"/>
        <v>0119</v>
      </c>
      <c r="B665" s="3" t="s">
        <v>14</v>
      </c>
      <c r="C665" s="3" t="str">
        <f>"朱庆敏"</f>
        <v>朱庆敏</v>
      </c>
      <c r="D665" s="3" t="str">
        <f t="shared" si="66"/>
        <v>女</v>
      </c>
      <c r="E665" s="3" t="str">
        <f>"2507012402"</f>
        <v>2507012402</v>
      </c>
      <c r="F665" s="3" t="str">
        <f t="shared" si="68"/>
        <v>24</v>
      </c>
      <c r="G665" s="4" t="str">
        <f>"02"</f>
        <v>02</v>
      </c>
      <c r="H665" s="5">
        <v>0</v>
      </c>
      <c r="I665" s="3" t="s">
        <v>11</v>
      </c>
    </row>
    <row r="666" customHeight="1" spans="1:9">
      <c r="A666" s="3" t="str">
        <f t="shared" si="67"/>
        <v>0119</v>
      </c>
      <c r="B666" s="3" t="s">
        <v>14</v>
      </c>
      <c r="C666" s="3" t="str">
        <f>"郑婉婷"</f>
        <v>郑婉婷</v>
      </c>
      <c r="D666" s="3" t="str">
        <f t="shared" si="66"/>
        <v>女</v>
      </c>
      <c r="E666" s="3" t="str">
        <f>"2507012403"</f>
        <v>2507012403</v>
      </c>
      <c r="F666" s="3" t="str">
        <f t="shared" si="68"/>
        <v>24</v>
      </c>
      <c r="G666" s="4" t="str">
        <f>"03"</f>
        <v>03</v>
      </c>
      <c r="H666" s="5">
        <v>0</v>
      </c>
      <c r="I666" s="3" t="s">
        <v>11</v>
      </c>
    </row>
    <row r="667" customHeight="1" spans="1:9">
      <c r="A667" s="3" t="str">
        <f t="shared" si="67"/>
        <v>0119</v>
      </c>
      <c r="B667" s="3" t="s">
        <v>14</v>
      </c>
      <c r="C667" s="3" t="str">
        <f>"孙婷"</f>
        <v>孙婷</v>
      </c>
      <c r="D667" s="3" t="str">
        <f t="shared" si="66"/>
        <v>女</v>
      </c>
      <c r="E667" s="3" t="str">
        <f>"2507012404"</f>
        <v>2507012404</v>
      </c>
      <c r="F667" s="3" t="str">
        <f t="shared" si="68"/>
        <v>24</v>
      </c>
      <c r="G667" s="4" t="str">
        <f>"04"</f>
        <v>04</v>
      </c>
      <c r="H667" s="5">
        <v>73.5</v>
      </c>
      <c r="I667" s="3"/>
    </row>
    <row r="668" customHeight="1" spans="1:9">
      <c r="A668" s="3" t="str">
        <f t="shared" si="67"/>
        <v>0119</v>
      </c>
      <c r="B668" s="3" t="s">
        <v>14</v>
      </c>
      <c r="C668" s="3" t="str">
        <f>"姚良撰"</f>
        <v>姚良撰</v>
      </c>
      <c r="D668" s="3" t="str">
        <f>"男"</f>
        <v>男</v>
      </c>
      <c r="E668" s="3" t="str">
        <f>"2507012405"</f>
        <v>2507012405</v>
      </c>
      <c r="F668" s="3" t="str">
        <f t="shared" si="68"/>
        <v>24</v>
      </c>
      <c r="G668" s="4" t="str">
        <f>"05"</f>
        <v>05</v>
      </c>
      <c r="H668" s="5">
        <v>0</v>
      </c>
      <c r="I668" s="3" t="s">
        <v>11</v>
      </c>
    </row>
    <row r="669" customHeight="1" spans="1:9">
      <c r="A669" s="3" t="str">
        <f t="shared" si="67"/>
        <v>0119</v>
      </c>
      <c r="B669" s="3" t="s">
        <v>14</v>
      </c>
      <c r="C669" s="3" t="str">
        <f>"李可"</f>
        <v>李可</v>
      </c>
      <c r="D669" s="3" t="str">
        <f>"男"</f>
        <v>男</v>
      </c>
      <c r="E669" s="3" t="str">
        <f>"2507012406"</f>
        <v>2507012406</v>
      </c>
      <c r="F669" s="3" t="str">
        <f t="shared" si="68"/>
        <v>24</v>
      </c>
      <c r="G669" s="4" t="str">
        <f>"06"</f>
        <v>06</v>
      </c>
      <c r="H669" s="5">
        <v>0</v>
      </c>
      <c r="I669" s="3" t="s">
        <v>11</v>
      </c>
    </row>
    <row r="670" customHeight="1" spans="1:9">
      <c r="A670" s="3" t="str">
        <f t="shared" si="67"/>
        <v>0119</v>
      </c>
      <c r="B670" s="3" t="s">
        <v>14</v>
      </c>
      <c r="C670" s="3" t="str">
        <f>"张启才"</f>
        <v>张启才</v>
      </c>
      <c r="D670" s="3" t="str">
        <f>"男"</f>
        <v>男</v>
      </c>
      <c r="E670" s="3" t="str">
        <f>"2507012407"</f>
        <v>2507012407</v>
      </c>
      <c r="F670" s="3" t="str">
        <f t="shared" si="68"/>
        <v>24</v>
      </c>
      <c r="G670" s="4" t="str">
        <f>"07"</f>
        <v>07</v>
      </c>
      <c r="H670" s="5">
        <v>34.2</v>
      </c>
      <c r="I670" s="3"/>
    </row>
    <row r="671" customHeight="1" spans="1:9">
      <c r="A671" s="3" t="str">
        <f t="shared" si="67"/>
        <v>0119</v>
      </c>
      <c r="B671" s="3" t="s">
        <v>14</v>
      </c>
      <c r="C671" s="3" t="str">
        <f>"黄尚"</f>
        <v>黄尚</v>
      </c>
      <c r="D671" s="3" t="str">
        <f>"男"</f>
        <v>男</v>
      </c>
      <c r="E671" s="3" t="str">
        <f>"2507012408"</f>
        <v>2507012408</v>
      </c>
      <c r="F671" s="3" t="str">
        <f t="shared" si="68"/>
        <v>24</v>
      </c>
      <c r="G671" s="4" t="str">
        <f>"08"</f>
        <v>08</v>
      </c>
      <c r="H671" s="5">
        <v>34.6</v>
      </c>
      <c r="I671" s="3"/>
    </row>
    <row r="672" customHeight="1" spans="1:9">
      <c r="A672" s="3" t="str">
        <f t="shared" si="67"/>
        <v>0119</v>
      </c>
      <c r="B672" s="3" t="s">
        <v>14</v>
      </c>
      <c r="C672" s="3" t="str">
        <f>"盛凤欣"</f>
        <v>盛凤欣</v>
      </c>
      <c r="D672" s="3" t="str">
        <f>"女"</f>
        <v>女</v>
      </c>
      <c r="E672" s="3" t="str">
        <f>"2507012409"</f>
        <v>2507012409</v>
      </c>
      <c r="F672" s="3" t="str">
        <f t="shared" si="68"/>
        <v>24</v>
      </c>
      <c r="G672" s="4" t="str">
        <f>"09"</f>
        <v>09</v>
      </c>
      <c r="H672" s="5">
        <v>0</v>
      </c>
      <c r="I672" s="3" t="s">
        <v>11</v>
      </c>
    </row>
    <row r="673" customHeight="1" spans="1:9">
      <c r="A673" s="3" t="str">
        <f t="shared" si="67"/>
        <v>0119</v>
      </c>
      <c r="B673" s="3" t="s">
        <v>14</v>
      </c>
      <c r="C673" s="3" t="str">
        <f>"颜荣"</f>
        <v>颜荣</v>
      </c>
      <c r="D673" s="3" t="str">
        <f>"女"</f>
        <v>女</v>
      </c>
      <c r="E673" s="3" t="str">
        <f>"2507012410"</f>
        <v>2507012410</v>
      </c>
      <c r="F673" s="3" t="str">
        <f t="shared" si="68"/>
        <v>24</v>
      </c>
      <c r="G673" s="4" t="str">
        <f>"10"</f>
        <v>10</v>
      </c>
      <c r="H673" s="5">
        <v>63</v>
      </c>
      <c r="I673" s="3"/>
    </row>
    <row r="674" customHeight="1" spans="1:9">
      <c r="A674" s="3" t="str">
        <f t="shared" si="67"/>
        <v>0119</v>
      </c>
      <c r="B674" s="3" t="s">
        <v>14</v>
      </c>
      <c r="C674" s="3" t="str">
        <f>"赵程龙"</f>
        <v>赵程龙</v>
      </c>
      <c r="D674" s="3" t="str">
        <f>"男"</f>
        <v>男</v>
      </c>
      <c r="E674" s="3" t="str">
        <f>"2507012411"</f>
        <v>2507012411</v>
      </c>
      <c r="F674" s="3" t="str">
        <f t="shared" si="68"/>
        <v>24</v>
      </c>
      <c r="G674" s="4" t="str">
        <f>"11"</f>
        <v>11</v>
      </c>
      <c r="H674" s="5">
        <v>49.9</v>
      </c>
      <c r="I674" s="3"/>
    </row>
    <row r="675" customHeight="1" spans="1:9">
      <c r="A675" s="3" t="str">
        <f t="shared" si="67"/>
        <v>0119</v>
      </c>
      <c r="B675" s="3" t="s">
        <v>14</v>
      </c>
      <c r="C675" s="3" t="str">
        <f>"周梦颖"</f>
        <v>周梦颖</v>
      </c>
      <c r="D675" s="3" t="str">
        <f>"女"</f>
        <v>女</v>
      </c>
      <c r="E675" s="3" t="str">
        <f>"2507012412"</f>
        <v>2507012412</v>
      </c>
      <c r="F675" s="3" t="str">
        <f t="shared" si="68"/>
        <v>24</v>
      </c>
      <c r="G675" s="4" t="str">
        <f>"12"</f>
        <v>12</v>
      </c>
      <c r="H675" s="5">
        <v>61.2</v>
      </c>
      <c r="I675" s="3"/>
    </row>
    <row r="676" customHeight="1" spans="1:9">
      <c r="A676" s="3" t="str">
        <f t="shared" si="67"/>
        <v>0119</v>
      </c>
      <c r="B676" s="3" t="s">
        <v>14</v>
      </c>
      <c r="C676" s="3" t="str">
        <f>"陈逸然"</f>
        <v>陈逸然</v>
      </c>
      <c r="D676" s="3" t="str">
        <f>"男"</f>
        <v>男</v>
      </c>
      <c r="E676" s="3" t="str">
        <f>"2507012413"</f>
        <v>2507012413</v>
      </c>
      <c r="F676" s="3" t="str">
        <f t="shared" si="68"/>
        <v>24</v>
      </c>
      <c r="G676" s="4" t="str">
        <f>"13"</f>
        <v>13</v>
      </c>
      <c r="H676" s="5">
        <v>0</v>
      </c>
      <c r="I676" s="3" t="s">
        <v>11</v>
      </c>
    </row>
    <row r="677" customHeight="1" spans="1:9">
      <c r="A677" s="3" t="str">
        <f t="shared" si="67"/>
        <v>0119</v>
      </c>
      <c r="B677" s="3" t="s">
        <v>14</v>
      </c>
      <c r="C677" s="3" t="str">
        <f>"朱翔翔"</f>
        <v>朱翔翔</v>
      </c>
      <c r="D677" s="3" t="str">
        <f>"男"</f>
        <v>男</v>
      </c>
      <c r="E677" s="3" t="str">
        <f>"2507012414"</f>
        <v>2507012414</v>
      </c>
      <c r="F677" s="3" t="str">
        <f t="shared" si="68"/>
        <v>24</v>
      </c>
      <c r="G677" s="4" t="str">
        <f>"14"</f>
        <v>14</v>
      </c>
      <c r="H677" s="5">
        <v>47.9</v>
      </c>
      <c r="I677" s="3"/>
    </row>
    <row r="678" customHeight="1" spans="1:9">
      <c r="A678" s="3" t="str">
        <f t="shared" si="67"/>
        <v>0119</v>
      </c>
      <c r="B678" s="3" t="s">
        <v>14</v>
      </c>
      <c r="C678" s="3" t="str">
        <f>"周妮娜"</f>
        <v>周妮娜</v>
      </c>
      <c r="D678" s="3" t="str">
        <f>"女"</f>
        <v>女</v>
      </c>
      <c r="E678" s="3" t="str">
        <f>"2507012415"</f>
        <v>2507012415</v>
      </c>
      <c r="F678" s="3" t="str">
        <f t="shared" si="68"/>
        <v>24</v>
      </c>
      <c r="G678" s="4" t="str">
        <f>"15"</f>
        <v>15</v>
      </c>
      <c r="H678" s="5">
        <v>0</v>
      </c>
      <c r="I678" s="3" t="s">
        <v>11</v>
      </c>
    </row>
    <row r="679" customHeight="1" spans="1:9">
      <c r="A679" s="3" t="str">
        <f t="shared" si="67"/>
        <v>0119</v>
      </c>
      <c r="B679" s="3" t="s">
        <v>14</v>
      </c>
      <c r="C679" s="3" t="str">
        <f>"朱奇"</f>
        <v>朱奇</v>
      </c>
      <c r="D679" s="3" t="str">
        <f>"男"</f>
        <v>男</v>
      </c>
      <c r="E679" s="3" t="str">
        <f>"2507012416"</f>
        <v>2507012416</v>
      </c>
      <c r="F679" s="3" t="str">
        <f t="shared" si="68"/>
        <v>24</v>
      </c>
      <c r="G679" s="4" t="str">
        <f>"16"</f>
        <v>16</v>
      </c>
      <c r="H679" s="5">
        <v>54.7</v>
      </c>
      <c r="I679" s="3"/>
    </row>
    <row r="680" customHeight="1" spans="1:9">
      <c r="A680" s="3" t="str">
        <f t="shared" si="67"/>
        <v>0119</v>
      </c>
      <c r="B680" s="3" t="s">
        <v>14</v>
      </c>
      <c r="C680" s="3" t="str">
        <f>"郝洪姣"</f>
        <v>郝洪姣</v>
      </c>
      <c r="D680" s="3" t="str">
        <f t="shared" ref="D680:D687" si="69">"女"</f>
        <v>女</v>
      </c>
      <c r="E680" s="3" t="str">
        <f>"2507012417"</f>
        <v>2507012417</v>
      </c>
      <c r="F680" s="3" t="str">
        <f t="shared" si="68"/>
        <v>24</v>
      </c>
      <c r="G680" s="4" t="str">
        <f>"17"</f>
        <v>17</v>
      </c>
      <c r="H680" s="5">
        <v>37.9</v>
      </c>
      <c r="I680" s="3"/>
    </row>
    <row r="681" customHeight="1" spans="1:9">
      <c r="A681" s="3" t="str">
        <f t="shared" si="67"/>
        <v>0119</v>
      </c>
      <c r="B681" s="3" t="s">
        <v>14</v>
      </c>
      <c r="C681" s="3" t="str">
        <f>"王淑娴"</f>
        <v>王淑娴</v>
      </c>
      <c r="D681" s="3" t="str">
        <f t="shared" si="69"/>
        <v>女</v>
      </c>
      <c r="E681" s="3" t="str">
        <f>"2507012418"</f>
        <v>2507012418</v>
      </c>
      <c r="F681" s="3" t="str">
        <f t="shared" si="68"/>
        <v>24</v>
      </c>
      <c r="G681" s="4" t="str">
        <f>"18"</f>
        <v>18</v>
      </c>
      <c r="H681" s="5">
        <v>0</v>
      </c>
      <c r="I681" s="3" t="s">
        <v>11</v>
      </c>
    </row>
    <row r="682" customHeight="1" spans="1:9">
      <c r="A682" s="3" t="str">
        <f t="shared" si="67"/>
        <v>0119</v>
      </c>
      <c r="B682" s="3" t="s">
        <v>14</v>
      </c>
      <c r="C682" s="3" t="str">
        <f>"邢贵娜"</f>
        <v>邢贵娜</v>
      </c>
      <c r="D682" s="3" t="str">
        <f t="shared" si="69"/>
        <v>女</v>
      </c>
      <c r="E682" s="3" t="str">
        <f>"2507012419"</f>
        <v>2507012419</v>
      </c>
      <c r="F682" s="3" t="str">
        <f t="shared" si="68"/>
        <v>24</v>
      </c>
      <c r="G682" s="4" t="str">
        <f>"19"</f>
        <v>19</v>
      </c>
      <c r="H682" s="5">
        <v>0</v>
      </c>
      <c r="I682" s="3" t="s">
        <v>11</v>
      </c>
    </row>
    <row r="683" customHeight="1" spans="1:9">
      <c r="A683" s="3" t="str">
        <f t="shared" si="67"/>
        <v>0119</v>
      </c>
      <c r="B683" s="3" t="s">
        <v>14</v>
      </c>
      <c r="C683" s="3" t="str">
        <f>"陈美洁"</f>
        <v>陈美洁</v>
      </c>
      <c r="D683" s="3" t="str">
        <f t="shared" si="69"/>
        <v>女</v>
      </c>
      <c r="E683" s="3" t="str">
        <f>"2507012420"</f>
        <v>2507012420</v>
      </c>
      <c r="F683" s="3" t="str">
        <f t="shared" si="68"/>
        <v>24</v>
      </c>
      <c r="G683" s="4" t="str">
        <f>"20"</f>
        <v>20</v>
      </c>
      <c r="H683" s="5">
        <v>0</v>
      </c>
      <c r="I683" s="3" t="s">
        <v>11</v>
      </c>
    </row>
    <row r="684" customHeight="1" spans="1:9">
      <c r="A684" s="3" t="str">
        <f t="shared" si="67"/>
        <v>0119</v>
      </c>
      <c r="B684" s="3" t="s">
        <v>14</v>
      </c>
      <c r="C684" s="3" t="str">
        <f>"方锦云"</f>
        <v>方锦云</v>
      </c>
      <c r="D684" s="3" t="str">
        <f t="shared" si="69"/>
        <v>女</v>
      </c>
      <c r="E684" s="3" t="str">
        <f>"2507012421"</f>
        <v>2507012421</v>
      </c>
      <c r="F684" s="3" t="str">
        <f t="shared" si="68"/>
        <v>24</v>
      </c>
      <c r="G684" s="4" t="str">
        <f>"21"</f>
        <v>21</v>
      </c>
      <c r="H684" s="5">
        <v>0</v>
      </c>
      <c r="I684" s="3" t="s">
        <v>11</v>
      </c>
    </row>
    <row r="685" customHeight="1" spans="1:9">
      <c r="A685" s="3" t="str">
        <f t="shared" si="67"/>
        <v>0119</v>
      </c>
      <c r="B685" s="3" t="s">
        <v>14</v>
      </c>
      <c r="C685" s="3" t="str">
        <f>"蒋瑶珈"</f>
        <v>蒋瑶珈</v>
      </c>
      <c r="D685" s="3" t="str">
        <f t="shared" si="69"/>
        <v>女</v>
      </c>
      <c r="E685" s="3" t="str">
        <f>"2507012422"</f>
        <v>2507012422</v>
      </c>
      <c r="F685" s="3" t="str">
        <f t="shared" si="68"/>
        <v>24</v>
      </c>
      <c r="G685" s="4" t="str">
        <f>"22"</f>
        <v>22</v>
      </c>
      <c r="H685" s="5">
        <v>52.9</v>
      </c>
      <c r="I685" s="3"/>
    </row>
    <row r="686" customHeight="1" spans="1:9">
      <c r="A686" s="3" t="str">
        <f t="shared" si="67"/>
        <v>0119</v>
      </c>
      <c r="B686" s="3" t="s">
        <v>14</v>
      </c>
      <c r="C686" s="3" t="str">
        <f>"张姗姗"</f>
        <v>张姗姗</v>
      </c>
      <c r="D686" s="3" t="str">
        <f t="shared" si="69"/>
        <v>女</v>
      </c>
      <c r="E686" s="3" t="str">
        <f>"2507012423"</f>
        <v>2507012423</v>
      </c>
      <c r="F686" s="3" t="str">
        <f t="shared" si="68"/>
        <v>24</v>
      </c>
      <c r="G686" s="4" t="str">
        <f>"23"</f>
        <v>23</v>
      </c>
      <c r="H686" s="5">
        <v>48.8</v>
      </c>
      <c r="I686" s="3"/>
    </row>
    <row r="687" customHeight="1" spans="1:9">
      <c r="A687" s="3" t="str">
        <f t="shared" si="67"/>
        <v>0119</v>
      </c>
      <c r="B687" s="3" t="s">
        <v>14</v>
      </c>
      <c r="C687" s="3" t="str">
        <f>"刘思宇"</f>
        <v>刘思宇</v>
      </c>
      <c r="D687" s="3" t="str">
        <f t="shared" si="69"/>
        <v>女</v>
      </c>
      <c r="E687" s="3" t="str">
        <f>"2507012424"</f>
        <v>2507012424</v>
      </c>
      <c r="F687" s="3" t="str">
        <f t="shared" si="68"/>
        <v>24</v>
      </c>
      <c r="G687" s="4" t="str">
        <f>"24"</f>
        <v>24</v>
      </c>
      <c r="H687" s="5">
        <v>62.5</v>
      </c>
      <c r="I687" s="3"/>
    </row>
    <row r="688" customHeight="1" spans="1:9">
      <c r="A688" s="3" t="str">
        <f t="shared" ref="A688:A751" si="70">"0104"</f>
        <v>0104</v>
      </c>
      <c r="B688" s="3" t="s">
        <v>15</v>
      </c>
      <c r="C688" s="3" t="str">
        <f>"柴彦楠"</f>
        <v>柴彦楠</v>
      </c>
      <c r="D688" s="3" t="str">
        <f t="shared" ref="D688:D708" si="71">"女"</f>
        <v>女</v>
      </c>
      <c r="E688" s="3" t="str">
        <f>"2507012501"</f>
        <v>2507012501</v>
      </c>
      <c r="F688" s="3" t="str">
        <f t="shared" ref="F688:F717" si="72">"25"</f>
        <v>25</v>
      </c>
      <c r="G688" s="4" t="str">
        <f>"01"</f>
        <v>01</v>
      </c>
      <c r="H688" s="5">
        <v>55.5</v>
      </c>
      <c r="I688" s="3"/>
    </row>
    <row r="689" customHeight="1" spans="1:9">
      <c r="A689" s="3" t="str">
        <f t="shared" si="70"/>
        <v>0104</v>
      </c>
      <c r="B689" s="3" t="s">
        <v>15</v>
      </c>
      <c r="C689" s="3" t="str">
        <f>"王可"</f>
        <v>王可</v>
      </c>
      <c r="D689" s="3" t="str">
        <f t="shared" si="71"/>
        <v>女</v>
      </c>
      <c r="E689" s="3" t="str">
        <f>"2507012502"</f>
        <v>2507012502</v>
      </c>
      <c r="F689" s="3" t="str">
        <f t="shared" si="72"/>
        <v>25</v>
      </c>
      <c r="G689" s="4" t="str">
        <f>"02"</f>
        <v>02</v>
      </c>
      <c r="H689" s="5">
        <v>0</v>
      </c>
      <c r="I689" s="3" t="s">
        <v>11</v>
      </c>
    </row>
    <row r="690" customHeight="1" spans="1:9">
      <c r="A690" s="3" t="str">
        <f t="shared" si="70"/>
        <v>0104</v>
      </c>
      <c r="B690" s="3" t="s">
        <v>15</v>
      </c>
      <c r="C690" s="3" t="str">
        <f>"何小凤"</f>
        <v>何小凤</v>
      </c>
      <c r="D690" s="3" t="str">
        <f t="shared" si="71"/>
        <v>女</v>
      </c>
      <c r="E690" s="3" t="str">
        <f>"2507012503"</f>
        <v>2507012503</v>
      </c>
      <c r="F690" s="3" t="str">
        <f t="shared" si="72"/>
        <v>25</v>
      </c>
      <c r="G690" s="4" t="str">
        <f>"03"</f>
        <v>03</v>
      </c>
      <c r="H690" s="5">
        <v>57.9</v>
      </c>
      <c r="I690" s="3"/>
    </row>
    <row r="691" customHeight="1" spans="1:9">
      <c r="A691" s="3" t="str">
        <f t="shared" si="70"/>
        <v>0104</v>
      </c>
      <c r="B691" s="3" t="s">
        <v>15</v>
      </c>
      <c r="C691" s="3" t="str">
        <f>"司琪"</f>
        <v>司琪</v>
      </c>
      <c r="D691" s="3" t="str">
        <f t="shared" si="71"/>
        <v>女</v>
      </c>
      <c r="E691" s="3" t="str">
        <f>"2507012504"</f>
        <v>2507012504</v>
      </c>
      <c r="F691" s="3" t="str">
        <f t="shared" si="72"/>
        <v>25</v>
      </c>
      <c r="G691" s="4" t="str">
        <f>"04"</f>
        <v>04</v>
      </c>
      <c r="H691" s="5">
        <v>50.1</v>
      </c>
      <c r="I691" s="3"/>
    </row>
    <row r="692" customHeight="1" spans="1:9">
      <c r="A692" s="3" t="str">
        <f t="shared" si="70"/>
        <v>0104</v>
      </c>
      <c r="B692" s="3" t="s">
        <v>15</v>
      </c>
      <c r="C692" s="3" t="str">
        <f>"卢艳红"</f>
        <v>卢艳红</v>
      </c>
      <c r="D692" s="3" t="str">
        <f t="shared" si="71"/>
        <v>女</v>
      </c>
      <c r="E692" s="3" t="str">
        <f>"2507012505"</f>
        <v>2507012505</v>
      </c>
      <c r="F692" s="3" t="str">
        <f t="shared" si="72"/>
        <v>25</v>
      </c>
      <c r="G692" s="4" t="str">
        <f>"05"</f>
        <v>05</v>
      </c>
      <c r="H692" s="5">
        <v>0</v>
      </c>
      <c r="I692" s="3" t="s">
        <v>11</v>
      </c>
    </row>
    <row r="693" customHeight="1" spans="1:9">
      <c r="A693" s="3" t="str">
        <f t="shared" si="70"/>
        <v>0104</v>
      </c>
      <c r="B693" s="3" t="s">
        <v>15</v>
      </c>
      <c r="C693" s="3" t="str">
        <f>"张慧恩"</f>
        <v>张慧恩</v>
      </c>
      <c r="D693" s="3" t="str">
        <f t="shared" si="71"/>
        <v>女</v>
      </c>
      <c r="E693" s="3" t="str">
        <f>"2507012506"</f>
        <v>2507012506</v>
      </c>
      <c r="F693" s="3" t="str">
        <f t="shared" si="72"/>
        <v>25</v>
      </c>
      <c r="G693" s="4" t="str">
        <f>"06"</f>
        <v>06</v>
      </c>
      <c r="H693" s="5">
        <v>64.5</v>
      </c>
      <c r="I693" s="3"/>
    </row>
    <row r="694" customHeight="1" spans="1:9">
      <c r="A694" s="3" t="str">
        <f t="shared" si="70"/>
        <v>0104</v>
      </c>
      <c r="B694" s="3" t="s">
        <v>15</v>
      </c>
      <c r="C694" s="3" t="str">
        <f>"刘礼蔚"</f>
        <v>刘礼蔚</v>
      </c>
      <c r="D694" s="3" t="str">
        <f t="shared" si="71"/>
        <v>女</v>
      </c>
      <c r="E694" s="3" t="str">
        <f>"2507012507"</f>
        <v>2507012507</v>
      </c>
      <c r="F694" s="3" t="str">
        <f t="shared" si="72"/>
        <v>25</v>
      </c>
      <c r="G694" s="4" t="str">
        <f>"07"</f>
        <v>07</v>
      </c>
      <c r="H694" s="5">
        <v>78.3</v>
      </c>
      <c r="I694" s="3"/>
    </row>
    <row r="695" customHeight="1" spans="1:9">
      <c r="A695" s="3" t="str">
        <f t="shared" si="70"/>
        <v>0104</v>
      </c>
      <c r="B695" s="3" t="s">
        <v>15</v>
      </c>
      <c r="C695" s="3" t="str">
        <f>"华宪芝"</f>
        <v>华宪芝</v>
      </c>
      <c r="D695" s="3" t="str">
        <f t="shared" si="71"/>
        <v>女</v>
      </c>
      <c r="E695" s="3" t="str">
        <f>"2507012508"</f>
        <v>2507012508</v>
      </c>
      <c r="F695" s="3" t="str">
        <f t="shared" si="72"/>
        <v>25</v>
      </c>
      <c r="G695" s="4" t="str">
        <f>"08"</f>
        <v>08</v>
      </c>
      <c r="H695" s="5">
        <v>68.3</v>
      </c>
      <c r="I695" s="3"/>
    </row>
    <row r="696" customHeight="1" spans="1:9">
      <c r="A696" s="3" t="str">
        <f t="shared" si="70"/>
        <v>0104</v>
      </c>
      <c r="B696" s="3" t="s">
        <v>15</v>
      </c>
      <c r="C696" s="3" t="str">
        <f>"张中宇"</f>
        <v>张中宇</v>
      </c>
      <c r="D696" s="3" t="str">
        <f t="shared" si="71"/>
        <v>女</v>
      </c>
      <c r="E696" s="3" t="str">
        <f>"2507012509"</f>
        <v>2507012509</v>
      </c>
      <c r="F696" s="3" t="str">
        <f t="shared" si="72"/>
        <v>25</v>
      </c>
      <c r="G696" s="4" t="str">
        <f>"09"</f>
        <v>09</v>
      </c>
      <c r="H696" s="5">
        <v>0</v>
      </c>
      <c r="I696" s="3" t="s">
        <v>11</v>
      </c>
    </row>
    <row r="697" customHeight="1" spans="1:9">
      <c r="A697" s="3" t="str">
        <f t="shared" si="70"/>
        <v>0104</v>
      </c>
      <c r="B697" s="3" t="s">
        <v>15</v>
      </c>
      <c r="C697" s="3" t="str">
        <f>"孙悦桐"</f>
        <v>孙悦桐</v>
      </c>
      <c r="D697" s="3" t="str">
        <f t="shared" si="71"/>
        <v>女</v>
      </c>
      <c r="E697" s="3" t="str">
        <f>"2507012510"</f>
        <v>2507012510</v>
      </c>
      <c r="F697" s="3" t="str">
        <f t="shared" si="72"/>
        <v>25</v>
      </c>
      <c r="G697" s="4" t="str">
        <f>"10"</f>
        <v>10</v>
      </c>
      <c r="H697" s="5">
        <v>66.6</v>
      </c>
      <c r="I697" s="3"/>
    </row>
    <row r="698" customHeight="1" spans="1:9">
      <c r="A698" s="3" t="str">
        <f t="shared" si="70"/>
        <v>0104</v>
      </c>
      <c r="B698" s="3" t="s">
        <v>15</v>
      </c>
      <c r="C698" s="3" t="str">
        <f>"张钰尹"</f>
        <v>张钰尹</v>
      </c>
      <c r="D698" s="3" t="str">
        <f t="shared" si="71"/>
        <v>女</v>
      </c>
      <c r="E698" s="3" t="str">
        <f>"2507012511"</f>
        <v>2507012511</v>
      </c>
      <c r="F698" s="3" t="str">
        <f t="shared" si="72"/>
        <v>25</v>
      </c>
      <c r="G698" s="4" t="str">
        <f>"11"</f>
        <v>11</v>
      </c>
      <c r="H698" s="5">
        <v>0</v>
      </c>
      <c r="I698" s="3" t="s">
        <v>11</v>
      </c>
    </row>
    <row r="699" customHeight="1" spans="1:9">
      <c r="A699" s="3" t="str">
        <f t="shared" si="70"/>
        <v>0104</v>
      </c>
      <c r="B699" s="3" t="s">
        <v>15</v>
      </c>
      <c r="C699" s="3" t="str">
        <f>"邵晨晨"</f>
        <v>邵晨晨</v>
      </c>
      <c r="D699" s="3" t="str">
        <f t="shared" si="71"/>
        <v>女</v>
      </c>
      <c r="E699" s="3" t="str">
        <f>"2507012512"</f>
        <v>2507012512</v>
      </c>
      <c r="F699" s="3" t="str">
        <f t="shared" si="72"/>
        <v>25</v>
      </c>
      <c r="G699" s="4" t="str">
        <f>"12"</f>
        <v>12</v>
      </c>
      <c r="H699" s="5">
        <v>0</v>
      </c>
      <c r="I699" s="3" t="s">
        <v>11</v>
      </c>
    </row>
    <row r="700" customHeight="1" spans="1:9">
      <c r="A700" s="3" t="str">
        <f t="shared" si="70"/>
        <v>0104</v>
      </c>
      <c r="B700" s="3" t="s">
        <v>15</v>
      </c>
      <c r="C700" s="3" t="str">
        <f>"陈思颖"</f>
        <v>陈思颖</v>
      </c>
      <c r="D700" s="3" t="str">
        <f t="shared" si="71"/>
        <v>女</v>
      </c>
      <c r="E700" s="3" t="str">
        <f>"2507012513"</f>
        <v>2507012513</v>
      </c>
      <c r="F700" s="3" t="str">
        <f t="shared" si="72"/>
        <v>25</v>
      </c>
      <c r="G700" s="4" t="str">
        <f>"13"</f>
        <v>13</v>
      </c>
      <c r="H700" s="5">
        <v>68.3</v>
      </c>
      <c r="I700" s="3"/>
    </row>
    <row r="701" customHeight="1" spans="1:9">
      <c r="A701" s="3" t="str">
        <f t="shared" si="70"/>
        <v>0104</v>
      </c>
      <c r="B701" s="3" t="s">
        <v>15</v>
      </c>
      <c r="C701" s="3" t="str">
        <f>"马萱萱"</f>
        <v>马萱萱</v>
      </c>
      <c r="D701" s="3" t="str">
        <f t="shared" si="71"/>
        <v>女</v>
      </c>
      <c r="E701" s="3" t="str">
        <f>"2507012514"</f>
        <v>2507012514</v>
      </c>
      <c r="F701" s="3" t="str">
        <f t="shared" si="72"/>
        <v>25</v>
      </c>
      <c r="G701" s="4" t="str">
        <f>"14"</f>
        <v>14</v>
      </c>
      <c r="H701" s="5">
        <v>58.4</v>
      </c>
      <c r="I701" s="3"/>
    </row>
    <row r="702" customHeight="1" spans="1:9">
      <c r="A702" s="3" t="str">
        <f t="shared" si="70"/>
        <v>0104</v>
      </c>
      <c r="B702" s="3" t="s">
        <v>15</v>
      </c>
      <c r="C702" s="3" t="str">
        <f>"高一冉"</f>
        <v>高一冉</v>
      </c>
      <c r="D702" s="3" t="str">
        <f t="shared" si="71"/>
        <v>女</v>
      </c>
      <c r="E702" s="3" t="str">
        <f>"2507012515"</f>
        <v>2507012515</v>
      </c>
      <c r="F702" s="3" t="str">
        <f t="shared" si="72"/>
        <v>25</v>
      </c>
      <c r="G702" s="4" t="str">
        <f>"15"</f>
        <v>15</v>
      </c>
      <c r="H702" s="5">
        <v>60.6</v>
      </c>
      <c r="I702" s="3"/>
    </row>
    <row r="703" customHeight="1" spans="1:9">
      <c r="A703" s="3" t="str">
        <f t="shared" si="70"/>
        <v>0104</v>
      </c>
      <c r="B703" s="3" t="s">
        <v>15</v>
      </c>
      <c r="C703" s="3" t="str">
        <f>"张桃桃"</f>
        <v>张桃桃</v>
      </c>
      <c r="D703" s="3" t="str">
        <f t="shared" si="71"/>
        <v>女</v>
      </c>
      <c r="E703" s="3" t="str">
        <f>"2507012516"</f>
        <v>2507012516</v>
      </c>
      <c r="F703" s="3" t="str">
        <f t="shared" si="72"/>
        <v>25</v>
      </c>
      <c r="G703" s="4" t="str">
        <f>"16"</f>
        <v>16</v>
      </c>
      <c r="H703" s="5">
        <v>50.5</v>
      </c>
      <c r="I703" s="3"/>
    </row>
    <row r="704" customHeight="1" spans="1:9">
      <c r="A704" s="3" t="str">
        <f t="shared" si="70"/>
        <v>0104</v>
      </c>
      <c r="B704" s="3" t="s">
        <v>15</v>
      </c>
      <c r="C704" s="3" t="str">
        <f>"闫胜男"</f>
        <v>闫胜男</v>
      </c>
      <c r="D704" s="3" t="str">
        <f t="shared" si="71"/>
        <v>女</v>
      </c>
      <c r="E704" s="3" t="str">
        <f>"2507012517"</f>
        <v>2507012517</v>
      </c>
      <c r="F704" s="3" t="str">
        <f t="shared" si="72"/>
        <v>25</v>
      </c>
      <c r="G704" s="4" t="str">
        <f>"17"</f>
        <v>17</v>
      </c>
      <c r="H704" s="5">
        <v>62.8</v>
      </c>
      <c r="I704" s="3"/>
    </row>
    <row r="705" customHeight="1" spans="1:9">
      <c r="A705" s="3" t="str">
        <f t="shared" si="70"/>
        <v>0104</v>
      </c>
      <c r="B705" s="3" t="s">
        <v>15</v>
      </c>
      <c r="C705" s="3" t="str">
        <f>"宗羿彤"</f>
        <v>宗羿彤</v>
      </c>
      <c r="D705" s="3" t="str">
        <f t="shared" si="71"/>
        <v>女</v>
      </c>
      <c r="E705" s="3" t="str">
        <f>"2507012518"</f>
        <v>2507012518</v>
      </c>
      <c r="F705" s="3" t="str">
        <f t="shared" si="72"/>
        <v>25</v>
      </c>
      <c r="G705" s="4" t="str">
        <f>"18"</f>
        <v>18</v>
      </c>
      <c r="H705" s="5">
        <v>41.2</v>
      </c>
      <c r="I705" s="3"/>
    </row>
    <row r="706" customHeight="1" spans="1:9">
      <c r="A706" s="3" t="str">
        <f t="shared" si="70"/>
        <v>0104</v>
      </c>
      <c r="B706" s="3" t="s">
        <v>15</v>
      </c>
      <c r="C706" s="3" t="str">
        <f>"张润颖"</f>
        <v>张润颖</v>
      </c>
      <c r="D706" s="3" t="str">
        <f t="shared" si="71"/>
        <v>女</v>
      </c>
      <c r="E706" s="3" t="str">
        <f>"2507012519"</f>
        <v>2507012519</v>
      </c>
      <c r="F706" s="3" t="str">
        <f t="shared" si="72"/>
        <v>25</v>
      </c>
      <c r="G706" s="4" t="str">
        <f>"19"</f>
        <v>19</v>
      </c>
      <c r="H706" s="5">
        <v>61.1</v>
      </c>
      <c r="I706" s="3"/>
    </row>
    <row r="707" customHeight="1" spans="1:9">
      <c r="A707" s="3" t="str">
        <f t="shared" si="70"/>
        <v>0104</v>
      </c>
      <c r="B707" s="3" t="s">
        <v>15</v>
      </c>
      <c r="C707" s="3" t="str">
        <f>"雍蓉"</f>
        <v>雍蓉</v>
      </c>
      <c r="D707" s="3" t="str">
        <f t="shared" si="71"/>
        <v>女</v>
      </c>
      <c r="E707" s="3" t="str">
        <f>"2507012520"</f>
        <v>2507012520</v>
      </c>
      <c r="F707" s="3" t="str">
        <f t="shared" si="72"/>
        <v>25</v>
      </c>
      <c r="G707" s="4" t="str">
        <f>"20"</f>
        <v>20</v>
      </c>
      <c r="H707" s="5">
        <v>77.1</v>
      </c>
      <c r="I707" s="3"/>
    </row>
    <row r="708" customHeight="1" spans="1:9">
      <c r="A708" s="3" t="str">
        <f t="shared" si="70"/>
        <v>0104</v>
      </c>
      <c r="B708" s="3" t="s">
        <v>15</v>
      </c>
      <c r="C708" s="3" t="str">
        <f>"张梦"</f>
        <v>张梦</v>
      </c>
      <c r="D708" s="3" t="str">
        <f t="shared" si="71"/>
        <v>女</v>
      </c>
      <c r="E708" s="3" t="str">
        <f>"2507012521"</f>
        <v>2507012521</v>
      </c>
      <c r="F708" s="3" t="str">
        <f t="shared" si="72"/>
        <v>25</v>
      </c>
      <c r="G708" s="4" t="str">
        <f>"21"</f>
        <v>21</v>
      </c>
      <c r="H708" s="5">
        <v>64</v>
      </c>
      <c r="I708" s="3"/>
    </row>
    <row r="709" customHeight="1" spans="1:9">
      <c r="A709" s="3" t="str">
        <f t="shared" si="70"/>
        <v>0104</v>
      </c>
      <c r="B709" s="3" t="s">
        <v>15</v>
      </c>
      <c r="C709" s="3" t="str">
        <f>"曹腾"</f>
        <v>曹腾</v>
      </c>
      <c r="D709" s="3" t="str">
        <f>"男"</f>
        <v>男</v>
      </c>
      <c r="E709" s="3" t="str">
        <f>"2507012522"</f>
        <v>2507012522</v>
      </c>
      <c r="F709" s="3" t="str">
        <f t="shared" si="72"/>
        <v>25</v>
      </c>
      <c r="G709" s="4" t="str">
        <f>"22"</f>
        <v>22</v>
      </c>
      <c r="H709" s="5">
        <v>0</v>
      </c>
      <c r="I709" s="3" t="s">
        <v>11</v>
      </c>
    </row>
    <row r="710" customHeight="1" spans="1:9">
      <c r="A710" s="3" t="str">
        <f t="shared" si="70"/>
        <v>0104</v>
      </c>
      <c r="B710" s="3" t="s">
        <v>15</v>
      </c>
      <c r="C710" s="3" t="str">
        <f>"纪佳颖"</f>
        <v>纪佳颖</v>
      </c>
      <c r="D710" s="3" t="str">
        <f t="shared" ref="D710:D720" si="73">"女"</f>
        <v>女</v>
      </c>
      <c r="E710" s="3" t="str">
        <f>"2507012523"</f>
        <v>2507012523</v>
      </c>
      <c r="F710" s="3" t="str">
        <f t="shared" si="72"/>
        <v>25</v>
      </c>
      <c r="G710" s="4" t="str">
        <f>"23"</f>
        <v>23</v>
      </c>
      <c r="H710" s="5">
        <v>50.5</v>
      </c>
      <c r="I710" s="3"/>
    </row>
    <row r="711" customHeight="1" spans="1:9">
      <c r="A711" s="3" t="str">
        <f t="shared" si="70"/>
        <v>0104</v>
      </c>
      <c r="B711" s="3" t="s">
        <v>15</v>
      </c>
      <c r="C711" s="3" t="str">
        <f>"周思婕"</f>
        <v>周思婕</v>
      </c>
      <c r="D711" s="3" t="str">
        <f t="shared" si="73"/>
        <v>女</v>
      </c>
      <c r="E711" s="3" t="str">
        <f>"2507012524"</f>
        <v>2507012524</v>
      </c>
      <c r="F711" s="3" t="str">
        <f t="shared" si="72"/>
        <v>25</v>
      </c>
      <c r="G711" s="4" t="str">
        <f>"24"</f>
        <v>24</v>
      </c>
      <c r="H711" s="5">
        <v>0</v>
      </c>
      <c r="I711" s="3" t="s">
        <v>11</v>
      </c>
    </row>
    <row r="712" customHeight="1" spans="1:9">
      <c r="A712" s="3" t="str">
        <f t="shared" si="70"/>
        <v>0104</v>
      </c>
      <c r="B712" s="3" t="s">
        <v>15</v>
      </c>
      <c r="C712" s="3" t="str">
        <f>"王晨"</f>
        <v>王晨</v>
      </c>
      <c r="D712" s="3" t="str">
        <f t="shared" si="73"/>
        <v>女</v>
      </c>
      <c r="E712" s="3" t="str">
        <f>"2507012525"</f>
        <v>2507012525</v>
      </c>
      <c r="F712" s="3" t="str">
        <f t="shared" si="72"/>
        <v>25</v>
      </c>
      <c r="G712" s="4" t="str">
        <f>"25"</f>
        <v>25</v>
      </c>
      <c r="H712" s="5">
        <v>31.8</v>
      </c>
      <c r="I712" s="3"/>
    </row>
    <row r="713" customHeight="1" spans="1:9">
      <c r="A713" s="3" t="str">
        <f t="shared" si="70"/>
        <v>0104</v>
      </c>
      <c r="B713" s="3" t="s">
        <v>15</v>
      </c>
      <c r="C713" s="3" t="str">
        <f>"金梦"</f>
        <v>金梦</v>
      </c>
      <c r="D713" s="3" t="str">
        <f t="shared" si="73"/>
        <v>女</v>
      </c>
      <c r="E713" s="3" t="str">
        <f>"2507012526"</f>
        <v>2507012526</v>
      </c>
      <c r="F713" s="3" t="str">
        <f t="shared" si="72"/>
        <v>25</v>
      </c>
      <c r="G713" s="4" t="str">
        <f>"26"</f>
        <v>26</v>
      </c>
      <c r="H713" s="5">
        <v>65.9</v>
      </c>
      <c r="I713" s="3"/>
    </row>
    <row r="714" customHeight="1" spans="1:9">
      <c r="A714" s="3" t="str">
        <f t="shared" si="70"/>
        <v>0104</v>
      </c>
      <c r="B714" s="3" t="s">
        <v>15</v>
      </c>
      <c r="C714" s="3" t="str">
        <f>"戴迪"</f>
        <v>戴迪</v>
      </c>
      <c r="D714" s="3" t="str">
        <f t="shared" si="73"/>
        <v>女</v>
      </c>
      <c r="E714" s="3" t="str">
        <f>"2507012527"</f>
        <v>2507012527</v>
      </c>
      <c r="F714" s="3" t="str">
        <f t="shared" si="72"/>
        <v>25</v>
      </c>
      <c r="G714" s="4" t="str">
        <f>"27"</f>
        <v>27</v>
      </c>
      <c r="H714" s="5">
        <v>48.1</v>
      </c>
      <c r="I714" s="3"/>
    </row>
    <row r="715" customHeight="1" spans="1:9">
      <c r="A715" s="3" t="str">
        <f t="shared" si="70"/>
        <v>0104</v>
      </c>
      <c r="B715" s="3" t="s">
        <v>15</v>
      </c>
      <c r="C715" s="3" t="str">
        <f>"王文艳"</f>
        <v>王文艳</v>
      </c>
      <c r="D715" s="3" t="str">
        <f t="shared" si="73"/>
        <v>女</v>
      </c>
      <c r="E715" s="3" t="str">
        <f>"2507012528"</f>
        <v>2507012528</v>
      </c>
      <c r="F715" s="3" t="str">
        <f t="shared" si="72"/>
        <v>25</v>
      </c>
      <c r="G715" s="4" t="str">
        <f>"28"</f>
        <v>28</v>
      </c>
      <c r="H715" s="5">
        <v>0</v>
      </c>
      <c r="I715" s="3" t="s">
        <v>11</v>
      </c>
    </row>
    <row r="716" customHeight="1" spans="1:9">
      <c r="A716" s="3" t="str">
        <f t="shared" si="70"/>
        <v>0104</v>
      </c>
      <c r="B716" s="3" t="s">
        <v>15</v>
      </c>
      <c r="C716" s="3" t="str">
        <f>"李雯"</f>
        <v>李雯</v>
      </c>
      <c r="D716" s="3" t="str">
        <f t="shared" si="73"/>
        <v>女</v>
      </c>
      <c r="E716" s="3" t="str">
        <f>"2507012529"</f>
        <v>2507012529</v>
      </c>
      <c r="F716" s="3" t="str">
        <f t="shared" si="72"/>
        <v>25</v>
      </c>
      <c r="G716" s="4" t="str">
        <f>"29"</f>
        <v>29</v>
      </c>
      <c r="H716" s="5">
        <v>0</v>
      </c>
      <c r="I716" s="3" t="s">
        <v>11</v>
      </c>
    </row>
    <row r="717" customHeight="1" spans="1:9">
      <c r="A717" s="3" t="str">
        <f t="shared" si="70"/>
        <v>0104</v>
      </c>
      <c r="B717" s="3" t="s">
        <v>15</v>
      </c>
      <c r="C717" s="3" t="str">
        <f>"徐文青"</f>
        <v>徐文青</v>
      </c>
      <c r="D717" s="3" t="str">
        <f t="shared" si="73"/>
        <v>女</v>
      </c>
      <c r="E717" s="3" t="str">
        <f>"2507012530"</f>
        <v>2507012530</v>
      </c>
      <c r="F717" s="3" t="str">
        <f t="shared" si="72"/>
        <v>25</v>
      </c>
      <c r="G717" s="4" t="str">
        <f>"30"</f>
        <v>30</v>
      </c>
      <c r="H717" s="5">
        <v>0</v>
      </c>
      <c r="I717" s="3" t="s">
        <v>11</v>
      </c>
    </row>
    <row r="718" customHeight="1" spans="1:9">
      <c r="A718" s="3" t="str">
        <f t="shared" si="70"/>
        <v>0104</v>
      </c>
      <c r="B718" s="3" t="s">
        <v>15</v>
      </c>
      <c r="C718" s="3" t="str">
        <f>"朱丽苹"</f>
        <v>朱丽苹</v>
      </c>
      <c r="D718" s="3" t="str">
        <f t="shared" si="73"/>
        <v>女</v>
      </c>
      <c r="E718" s="3" t="str">
        <f>"2507012601"</f>
        <v>2507012601</v>
      </c>
      <c r="F718" s="3" t="str">
        <f t="shared" ref="F718:F747" si="74">"26"</f>
        <v>26</v>
      </c>
      <c r="G718" s="4" t="str">
        <f>"01"</f>
        <v>01</v>
      </c>
      <c r="H718" s="5">
        <v>0</v>
      </c>
      <c r="I718" s="3" t="s">
        <v>11</v>
      </c>
    </row>
    <row r="719" customHeight="1" spans="1:9">
      <c r="A719" s="3" t="str">
        <f t="shared" si="70"/>
        <v>0104</v>
      </c>
      <c r="B719" s="3" t="s">
        <v>15</v>
      </c>
      <c r="C719" s="3" t="str">
        <f>"黄圆圆"</f>
        <v>黄圆圆</v>
      </c>
      <c r="D719" s="3" t="str">
        <f t="shared" si="73"/>
        <v>女</v>
      </c>
      <c r="E719" s="3" t="str">
        <f>"2507012602"</f>
        <v>2507012602</v>
      </c>
      <c r="F719" s="3" t="str">
        <f t="shared" si="74"/>
        <v>26</v>
      </c>
      <c r="G719" s="4" t="str">
        <f>"02"</f>
        <v>02</v>
      </c>
      <c r="H719" s="5">
        <v>37.3</v>
      </c>
      <c r="I719" s="3"/>
    </row>
    <row r="720" customHeight="1" spans="1:9">
      <c r="A720" s="3" t="str">
        <f t="shared" si="70"/>
        <v>0104</v>
      </c>
      <c r="B720" s="3" t="s">
        <v>15</v>
      </c>
      <c r="C720" s="3" t="str">
        <f>"夏兆萱"</f>
        <v>夏兆萱</v>
      </c>
      <c r="D720" s="3" t="str">
        <f t="shared" si="73"/>
        <v>女</v>
      </c>
      <c r="E720" s="3" t="str">
        <f>"2507012603"</f>
        <v>2507012603</v>
      </c>
      <c r="F720" s="3" t="str">
        <f t="shared" si="74"/>
        <v>26</v>
      </c>
      <c r="G720" s="4" t="str">
        <f>"03"</f>
        <v>03</v>
      </c>
      <c r="H720" s="5">
        <v>76.9</v>
      </c>
      <c r="I720" s="3"/>
    </row>
    <row r="721" customHeight="1" spans="1:9">
      <c r="A721" s="3" t="str">
        <f t="shared" si="70"/>
        <v>0104</v>
      </c>
      <c r="B721" s="3" t="s">
        <v>15</v>
      </c>
      <c r="C721" s="3" t="str">
        <f>"蔡啸天"</f>
        <v>蔡啸天</v>
      </c>
      <c r="D721" s="3" t="str">
        <f>"男"</f>
        <v>男</v>
      </c>
      <c r="E721" s="3" t="str">
        <f>"2507012604"</f>
        <v>2507012604</v>
      </c>
      <c r="F721" s="3" t="str">
        <f t="shared" si="74"/>
        <v>26</v>
      </c>
      <c r="G721" s="4" t="str">
        <f>"04"</f>
        <v>04</v>
      </c>
      <c r="H721" s="5">
        <v>58.1</v>
      </c>
      <c r="I721" s="3"/>
    </row>
    <row r="722" customHeight="1" spans="1:9">
      <c r="A722" s="3" t="str">
        <f t="shared" si="70"/>
        <v>0104</v>
      </c>
      <c r="B722" s="3" t="s">
        <v>15</v>
      </c>
      <c r="C722" s="3" t="str">
        <f>"程欣瑜"</f>
        <v>程欣瑜</v>
      </c>
      <c r="D722" s="3" t="str">
        <f>"女"</f>
        <v>女</v>
      </c>
      <c r="E722" s="3" t="str">
        <f>"2507012605"</f>
        <v>2507012605</v>
      </c>
      <c r="F722" s="3" t="str">
        <f t="shared" si="74"/>
        <v>26</v>
      </c>
      <c r="G722" s="4" t="str">
        <f>"05"</f>
        <v>05</v>
      </c>
      <c r="H722" s="5">
        <v>0</v>
      </c>
      <c r="I722" s="3" t="s">
        <v>11</v>
      </c>
    </row>
    <row r="723" customHeight="1" spans="1:9">
      <c r="A723" s="3" t="str">
        <f t="shared" si="70"/>
        <v>0104</v>
      </c>
      <c r="B723" s="3" t="s">
        <v>15</v>
      </c>
      <c r="C723" s="3" t="str">
        <f>"史慧慧"</f>
        <v>史慧慧</v>
      </c>
      <c r="D723" s="3" t="str">
        <f>"女"</f>
        <v>女</v>
      </c>
      <c r="E723" s="3" t="str">
        <f>"2507012606"</f>
        <v>2507012606</v>
      </c>
      <c r="F723" s="3" t="str">
        <f t="shared" si="74"/>
        <v>26</v>
      </c>
      <c r="G723" s="4" t="str">
        <f>"06"</f>
        <v>06</v>
      </c>
      <c r="H723" s="5">
        <v>0</v>
      </c>
      <c r="I723" s="3" t="s">
        <v>11</v>
      </c>
    </row>
    <row r="724" customHeight="1" spans="1:9">
      <c r="A724" s="3" t="str">
        <f t="shared" si="70"/>
        <v>0104</v>
      </c>
      <c r="B724" s="3" t="s">
        <v>15</v>
      </c>
      <c r="C724" s="3" t="str">
        <f>"展雨琦"</f>
        <v>展雨琦</v>
      </c>
      <c r="D724" s="3" t="str">
        <f>"男"</f>
        <v>男</v>
      </c>
      <c r="E724" s="3" t="str">
        <f>"2507012607"</f>
        <v>2507012607</v>
      </c>
      <c r="F724" s="3" t="str">
        <f t="shared" si="74"/>
        <v>26</v>
      </c>
      <c r="G724" s="4" t="str">
        <f>"07"</f>
        <v>07</v>
      </c>
      <c r="H724" s="5">
        <v>0</v>
      </c>
      <c r="I724" s="3" t="s">
        <v>11</v>
      </c>
    </row>
    <row r="725" customHeight="1" spans="1:9">
      <c r="A725" s="3" t="str">
        <f t="shared" si="70"/>
        <v>0104</v>
      </c>
      <c r="B725" s="3" t="s">
        <v>15</v>
      </c>
      <c r="C725" s="3" t="str">
        <f>"沈向杰"</f>
        <v>沈向杰</v>
      </c>
      <c r="D725" s="3" t="str">
        <f t="shared" ref="D725:D733" si="75">"女"</f>
        <v>女</v>
      </c>
      <c r="E725" s="3" t="str">
        <f>"2507012608"</f>
        <v>2507012608</v>
      </c>
      <c r="F725" s="3" t="str">
        <f t="shared" si="74"/>
        <v>26</v>
      </c>
      <c r="G725" s="4" t="str">
        <f>"08"</f>
        <v>08</v>
      </c>
      <c r="H725" s="5">
        <v>69.3</v>
      </c>
      <c r="I725" s="3"/>
    </row>
    <row r="726" customHeight="1" spans="1:9">
      <c r="A726" s="3" t="str">
        <f t="shared" si="70"/>
        <v>0104</v>
      </c>
      <c r="B726" s="3" t="s">
        <v>15</v>
      </c>
      <c r="C726" s="3" t="str">
        <f>"徐欣"</f>
        <v>徐欣</v>
      </c>
      <c r="D726" s="3" t="str">
        <f t="shared" si="75"/>
        <v>女</v>
      </c>
      <c r="E726" s="3" t="str">
        <f>"2507012609"</f>
        <v>2507012609</v>
      </c>
      <c r="F726" s="3" t="str">
        <f t="shared" si="74"/>
        <v>26</v>
      </c>
      <c r="G726" s="4" t="str">
        <f>"09"</f>
        <v>09</v>
      </c>
      <c r="H726" s="5">
        <v>0</v>
      </c>
      <c r="I726" s="3" t="s">
        <v>11</v>
      </c>
    </row>
    <row r="727" customHeight="1" spans="1:9">
      <c r="A727" s="3" t="str">
        <f t="shared" si="70"/>
        <v>0104</v>
      </c>
      <c r="B727" s="3" t="s">
        <v>15</v>
      </c>
      <c r="C727" s="3" t="str">
        <f>"王雅茹"</f>
        <v>王雅茹</v>
      </c>
      <c r="D727" s="3" t="str">
        <f t="shared" si="75"/>
        <v>女</v>
      </c>
      <c r="E727" s="3" t="str">
        <f>"2507012610"</f>
        <v>2507012610</v>
      </c>
      <c r="F727" s="3" t="str">
        <f t="shared" si="74"/>
        <v>26</v>
      </c>
      <c r="G727" s="4" t="str">
        <f>"10"</f>
        <v>10</v>
      </c>
      <c r="H727" s="5">
        <v>65.8</v>
      </c>
      <c r="I727" s="3"/>
    </row>
    <row r="728" customHeight="1" spans="1:9">
      <c r="A728" s="3" t="str">
        <f t="shared" si="70"/>
        <v>0104</v>
      </c>
      <c r="B728" s="3" t="s">
        <v>15</v>
      </c>
      <c r="C728" s="3" t="str">
        <f>"李欣欣"</f>
        <v>李欣欣</v>
      </c>
      <c r="D728" s="3" t="str">
        <f t="shared" si="75"/>
        <v>女</v>
      </c>
      <c r="E728" s="3" t="str">
        <f>"2507012611"</f>
        <v>2507012611</v>
      </c>
      <c r="F728" s="3" t="str">
        <f t="shared" si="74"/>
        <v>26</v>
      </c>
      <c r="G728" s="4" t="str">
        <f>"11"</f>
        <v>11</v>
      </c>
      <c r="H728" s="5">
        <v>68.6</v>
      </c>
      <c r="I728" s="3"/>
    </row>
    <row r="729" customHeight="1" spans="1:9">
      <c r="A729" s="3" t="str">
        <f t="shared" si="70"/>
        <v>0104</v>
      </c>
      <c r="B729" s="3" t="s">
        <v>15</v>
      </c>
      <c r="C729" s="3" t="str">
        <f>"丁甜"</f>
        <v>丁甜</v>
      </c>
      <c r="D729" s="3" t="str">
        <f t="shared" si="75"/>
        <v>女</v>
      </c>
      <c r="E729" s="3" t="str">
        <f>"2507012612"</f>
        <v>2507012612</v>
      </c>
      <c r="F729" s="3" t="str">
        <f t="shared" si="74"/>
        <v>26</v>
      </c>
      <c r="G729" s="4" t="str">
        <f>"12"</f>
        <v>12</v>
      </c>
      <c r="H729" s="5">
        <v>59.4</v>
      </c>
      <c r="I729" s="3"/>
    </row>
    <row r="730" customHeight="1" spans="1:9">
      <c r="A730" s="3" t="str">
        <f t="shared" si="70"/>
        <v>0104</v>
      </c>
      <c r="B730" s="3" t="s">
        <v>15</v>
      </c>
      <c r="C730" s="3" t="str">
        <f>"王蒙娜"</f>
        <v>王蒙娜</v>
      </c>
      <c r="D730" s="3" t="str">
        <f t="shared" si="75"/>
        <v>女</v>
      </c>
      <c r="E730" s="3" t="str">
        <f>"2507012613"</f>
        <v>2507012613</v>
      </c>
      <c r="F730" s="3" t="str">
        <f t="shared" si="74"/>
        <v>26</v>
      </c>
      <c r="G730" s="4" t="str">
        <f>"13"</f>
        <v>13</v>
      </c>
      <c r="H730" s="5">
        <v>64.3</v>
      </c>
      <c r="I730" s="3"/>
    </row>
    <row r="731" customHeight="1" spans="1:9">
      <c r="A731" s="3" t="str">
        <f t="shared" si="70"/>
        <v>0104</v>
      </c>
      <c r="B731" s="3" t="s">
        <v>15</v>
      </c>
      <c r="C731" s="3" t="str">
        <f>"付雯煜"</f>
        <v>付雯煜</v>
      </c>
      <c r="D731" s="3" t="str">
        <f t="shared" si="75"/>
        <v>女</v>
      </c>
      <c r="E731" s="3" t="str">
        <f>"2507012614"</f>
        <v>2507012614</v>
      </c>
      <c r="F731" s="3" t="str">
        <f t="shared" si="74"/>
        <v>26</v>
      </c>
      <c r="G731" s="4" t="str">
        <f>"14"</f>
        <v>14</v>
      </c>
      <c r="H731" s="5">
        <v>0</v>
      </c>
      <c r="I731" s="3" t="s">
        <v>11</v>
      </c>
    </row>
    <row r="732" customHeight="1" spans="1:9">
      <c r="A732" s="3" t="str">
        <f t="shared" si="70"/>
        <v>0104</v>
      </c>
      <c r="B732" s="3" t="s">
        <v>15</v>
      </c>
      <c r="C732" s="3" t="str">
        <f>"王昕航"</f>
        <v>王昕航</v>
      </c>
      <c r="D732" s="3" t="str">
        <f t="shared" si="75"/>
        <v>女</v>
      </c>
      <c r="E732" s="3" t="str">
        <f>"2507012615"</f>
        <v>2507012615</v>
      </c>
      <c r="F732" s="3" t="str">
        <f t="shared" si="74"/>
        <v>26</v>
      </c>
      <c r="G732" s="4" t="str">
        <f>"15"</f>
        <v>15</v>
      </c>
      <c r="H732" s="5">
        <v>60.1</v>
      </c>
      <c r="I732" s="3"/>
    </row>
    <row r="733" customHeight="1" spans="1:9">
      <c r="A733" s="3" t="str">
        <f t="shared" si="70"/>
        <v>0104</v>
      </c>
      <c r="B733" s="3" t="s">
        <v>15</v>
      </c>
      <c r="C733" s="3" t="str">
        <f>"曹越"</f>
        <v>曹越</v>
      </c>
      <c r="D733" s="3" t="str">
        <f t="shared" si="75"/>
        <v>女</v>
      </c>
      <c r="E733" s="3" t="str">
        <f>"2507012616"</f>
        <v>2507012616</v>
      </c>
      <c r="F733" s="3" t="str">
        <f t="shared" si="74"/>
        <v>26</v>
      </c>
      <c r="G733" s="4" t="str">
        <f>"16"</f>
        <v>16</v>
      </c>
      <c r="H733" s="5">
        <v>0</v>
      </c>
      <c r="I733" s="3" t="s">
        <v>11</v>
      </c>
    </row>
    <row r="734" customHeight="1" spans="1:9">
      <c r="A734" s="3" t="str">
        <f t="shared" si="70"/>
        <v>0104</v>
      </c>
      <c r="B734" s="3" t="s">
        <v>15</v>
      </c>
      <c r="C734" s="3" t="str">
        <f>"王浩"</f>
        <v>王浩</v>
      </c>
      <c r="D734" s="3" t="str">
        <f>"男"</f>
        <v>男</v>
      </c>
      <c r="E734" s="3" t="str">
        <f>"2507012617"</f>
        <v>2507012617</v>
      </c>
      <c r="F734" s="3" t="str">
        <f t="shared" si="74"/>
        <v>26</v>
      </c>
      <c r="G734" s="4" t="str">
        <f>"17"</f>
        <v>17</v>
      </c>
      <c r="H734" s="5">
        <v>0</v>
      </c>
      <c r="I734" s="3" t="s">
        <v>11</v>
      </c>
    </row>
    <row r="735" customHeight="1" spans="1:9">
      <c r="A735" s="3" t="str">
        <f t="shared" si="70"/>
        <v>0104</v>
      </c>
      <c r="B735" s="3" t="s">
        <v>15</v>
      </c>
      <c r="C735" s="3" t="str">
        <f>"刘玉茹"</f>
        <v>刘玉茹</v>
      </c>
      <c r="D735" s="3" t="str">
        <f t="shared" ref="D735:D753" si="76">"女"</f>
        <v>女</v>
      </c>
      <c r="E735" s="3" t="str">
        <f>"2507012618"</f>
        <v>2507012618</v>
      </c>
      <c r="F735" s="3" t="str">
        <f t="shared" si="74"/>
        <v>26</v>
      </c>
      <c r="G735" s="4" t="str">
        <f>"18"</f>
        <v>18</v>
      </c>
      <c r="H735" s="5">
        <v>58.9</v>
      </c>
      <c r="I735" s="3"/>
    </row>
    <row r="736" customHeight="1" spans="1:9">
      <c r="A736" s="3" t="str">
        <f t="shared" si="70"/>
        <v>0104</v>
      </c>
      <c r="B736" s="3" t="s">
        <v>15</v>
      </c>
      <c r="C736" s="3" t="str">
        <f>"侯婷"</f>
        <v>侯婷</v>
      </c>
      <c r="D736" s="3" t="str">
        <f t="shared" si="76"/>
        <v>女</v>
      </c>
      <c r="E736" s="3" t="str">
        <f>"2507012619"</f>
        <v>2507012619</v>
      </c>
      <c r="F736" s="3" t="str">
        <f t="shared" si="74"/>
        <v>26</v>
      </c>
      <c r="G736" s="4" t="str">
        <f>"19"</f>
        <v>19</v>
      </c>
      <c r="H736" s="5">
        <v>0</v>
      </c>
      <c r="I736" s="3" t="s">
        <v>11</v>
      </c>
    </row>
    <row r="737" customHeight="1" spans="1:9">
      <c r="A737" s="3" t="str">
        <f t="shared" si="70"/>
        <v>0104</v>
      </c>
      <c r="B737" s="3" t="s">
        <v>15</v>
      </c>
      <c r="C737" s="3" t="str">
        <f>"韩端端"</f>
        <v>韩端端</v>
      </c>
      <c r="D737" s="3" t="str">
        <f t="shared" si="76"/>
        <v>女</v>
      </c>
      <c r="E737" s="3" t="str">
        <f>"2507012620"</f>
        <v>2507012620</v>
      </c>
      <c r="F737" s="3" t="str">
        <f t="shared" si="74"/>
        <v>26</v>
      </c>
      <c r="G737" s="4" t="str">
        <f>"20"</f>
        <v>20</v>
      </c>
      <c r="H737" s="5">
        <v>0</v>
      </c>
      <c r="I737" s="3" t="s">
        <v>11</v>
      </c>
    </row>
    <row r="738" customHeight="1" spans="1:9">
      <c r="A738" s="3" t="str">
        <f t="shared" si="70"/>
        <v>0104</v>
      </c>
      <c r="B738" s="3" t="s">
        <v>15</v>
      </c>
      <c r="C738" s="3" t="str">
        <f>"李丛丛"</f>
        <v>李丛丛</v>
      </c>
      <c r="D738" s="3" t="str">
        <f t="shared" si="76"/>
        <v>女</v>
      </c>
      <c r="E738" s="3" t="str">
        <f>"2507012621"</f>
        <v>2507012621</v>
      </c>
      <c r="F738" s="3" t="str">
        <f t="shared" si="74"/>
        <v>26</v>
      </c>
      <c r="G738" s="4" t="str">
        <f>"21"</f>
        <v>21</v>
      </c>
      <c r="H738" s="5">
        <v>0</v>
      </c>
      <c r="I738" s="3" t="s">
        <v>11</v>
      </c>
    </row>
    <row r="739" customHeight="1" spans="1:9">
      <c r="A739" s="3" t="str">
        <f t="shared" si="70"/>
        <v>0104</v>
      </c>
      <c r="B739" s="3" t="s">
        <v>15</v>
      </c>
      <c r="C739" s="3" t="str">
        <f>"彭馨冉"</f>
        <v>彭馨冉</v>
      </c>
      <c r="D739" s="3" t="str">
        <f t="shared" si="76"/>
        <v>女</v>
      </c>
      <c r="E739" s="3" t="str">
        <f>"2507012622"</f>
        <v>2507012622</v>
      </c>
      <c r="F739" s="3" t="str">
        <f t="shared" si="74"/>
        <v>26</v>
      </c>
      <c r="G739" s="4" t="str">
        <f>"22"</f>
        <v>22</v>
      </c>
      <c r="H739" s="5">
        <v>57.7</v>
      </c>
      <c r="I739" s="3"/>
    </row>
    <row r="740" customHeight="1" spans="1:9">
      <c r="A740" s="3" t="str">
        <f t="shared" si="70"/>
        <v>0104</v>
      </c>
      <c r="B740" s="3" t="s">
        <v>15</v>
      </c>
      <c r="C740" s="3" t="str">
        <f>"封琪"</f>
        <v>封琪</v>
      </c>
      <c r="D740" s="3" t="str">
        <f t="shared" si="76"/>
        <v>女</v>
      </c>
      <c r="E740" s="3" t="str">
        <f>"2507012623"</f>
        <v>2507012623</v>
      </c>
      <c r="F740" s="3" t="str">
        <f t="shared" si="74"/>
        <v>26</v>
      </c>
      <c r="G740" s="4" t="str">
        <f>"23"</f>
        <v>23</v>
      </c>
      <c r="H740" s="5">
        <v>38.9</v>
      </c>
      <c r="I740" s="3"/>
    </row>
    <row r="741" customHeight="1" spans="1:9">
      <c r="A741" s="3" t="str">
        <f t="shared" si="70"/>
        <v>0104</v>
      </c>
      <c r="B741" s="3" t="s">
        <v>15</v>
      </c>
      <c r="C741" s="3" t="str">
        <f>"闫晓涵"</f>
        <v>闫晓涵</v>
      </c>
      <c r="D741" s="3" t="str">
        <f t="shared" si="76"/>
        <v>女</v>
      </c>
      <c r="E741" s="3" t="str">
        <f>"2507012624"</f>
        <v>2507012624</v>
      </c>
      <c r="F741" s="3" t="str">
        <f t="shared" si="74"/>
        <v>26</v>
      </c>
      <c r="G741" s="4" t="str">
        <f>"24"</f>
        <v>24</v>
      </c>
      <c r="H741" s="5">
        <v>67.3</v>
      </c>
      <c r="I741" s="3"/>
    </row>
    <row r="742" customHeight="1" spans="1:9">
      <c r="A742" s="3" t="str">
        <f t="shared" si="70"/>
        <v>0104</v>
      </c>
      <c r="B742" s="3" t="s">
        <v>15</v>
      </c>
      <c r="C742" s="3" t="str">
        <f>"孙钰"</f>
        <v>孙钰</v>
      </c>
      <c r="D742" s="3" t="str">
        <f t="shared" si="76"/>
        <v>女</v>
      </c>
      <c r="E742" s="3" t="str">
        <f>"2507012625"</f>
        <v>2507012625</v>
      </c>
      <c r="F742" s="3" t="str">
        <f t="shared" si="74"/>
        <v>26</v>
      </c>
      <c r="G742" s="4" t="str">
        <f>"25"</f>
        <v>25</v>
      </c>
      <c r="H742" s="5">
        <v>72.7</v>
      </c>
      <c r="I742" s="3"/>
    </row>
    <row r="743" customHeight="1" spans="1:9">
      <c r="A743" s="3" t="str">
        <f t="shared" si="70"/>
        <v>0104</v>
      </c>
      <c r="B743" s="3" t="s">
        <v>15</v>
      </c>
      <c r="C743" s="3" t="str">
        <f>"杨华钰"</f>
        <v>杨华钰</v>
      </c>
      <c r="D743" s="3" t="str">
        <f t="shared" si="76"/>
        <v>女</v>
      </c>
      <c r="E743" s="3" t="str">
        <f>"2507012626"</f>
        <v>2507012626</v>
      </c>
      <c r="F743" s="3" t="str">
        <f t="shared" si="74"/>
        <v>26</v>
      </c>
      <c r="G743" s="4" t="str">
        <f>"26"</f>
        <v>26</v>
      </c>
      <c r="H743" s="5">
        <v>0</v>
      </c>
      <c r="I743" s="3" t="s">
        <v>11</v>
      </c>
    </row>
    <row r="744" customHeight="1" spans="1:9">
      <c r="A744" s="3" t="str">
        <f t="shared" si="70"/>
        <v>0104</v>
      </c>
      <c r="B744" s="3" t="s">
        <v>15</v>
      </c>
      <c r="C744" s="3" t="str">
        <f>"许宁"</f>
        <v>许宁</v>
      </c>
      <c r="D744" s="3" t="str">
        <f t="shared" si="76"/>
        <v>女</v>
      </c>
      <c r="E744" s="3" t="str">
        <f>"2507012627"</f>
        <v>2507012627</v>
      </c>
      <c r="F744" s="3" t="str">
        <f t="shared" si="74"/>
        <v>26</v>
      </c>
      <c r="G744" s="4" t="str">
        <f>"27"</f>
        <v>27</v>
      </c>
      <c r="H744" s="5">
        <v>0</v>
      </c>
      <c r="I744" s="3" t="s">
        <v>11</v>
      </c>
    </row>
    <row r="745" customHeight="1" spans="1:9">
      <c r="A745" s="3" t="str">
        <f t="shared" si="70"/>
        <v>0104</v>
      </c>
      <c r="B745" s="3" t="s">
        <v>15</v>
      </c>
      <c r="C745" s="3" t="str">
        <f>"孟思妤"</f>
        <v>孟思妤</v>
      </c>
      <c r="D745" s="3" t="str">
        <f t="shared" si="76"/>
        <v>女</v>
      </c>
      <c r="E745" s="3" t="str">
        <f>"2507012628"</f>
        <v>2507012628</v>
      </c>
      <c r="F745" s="3" t="str">
        <f t="shared" si="74"/>
        <v>26</v>
      </c>
      <c r="G745" s="4" t="str">
        <f>"28"</f>
        <v>28</v>
      </c>
      <c r="H745" s="5">
        <v>63.2</v>
      </c>
      <c r="I745" s="3"/>
    </row>
    <row r="746" customHeight="1" spans="1:9">
      <c r="A746" s="3" t="str">
        <f t="shared" si="70"/>
        <v>0104</v>
      </c>
      <c r="B746" s="3" t="s">
        <v>15</v>
      </c>
      <c r="C746" s="3" t="str">
        <f>"朱静怡"</f>
        <v>朱静怡</v>
      </c>
      <c r="D746" s="3" t="str">
        <f t="shared" si="76"/>
        <v>女</v>
      </c>
      <c r="E746" s="3" t="str">
        <f>"2507012629"</f>
        <v>2507012629</v>
      </c>
      <c r="F746" s="3" t="str">
        <f t="shared" si="74"/>
        <v>26</v>
      </c>
      <c r="G746" s="4" t="str">
        <f>"29"</f>
        <v>29</v>
      </c>
      <c r="H746" s="5">
        <v>78.2</v>
      </c>
      <c r="I746" s="3"/>
    </row>
    <row r="747" customHeight="1" spans="1:9">
      <c r="A747" s="3" t="str">
        <f t="shared" si="70"/>
        <v>0104</v>
      </c>
      <c r="B747" s="3" t="s">
        <v>15</v>
      </c>
      <c r="C747" s="3" t="str">
        <f>"朱子玉"</f>
        <v>朱子玉</v>
      </c>
      <c r="D747" s="3" t="str">
        <f t="shared" si="76"/>
        <v>女</v>
      </c>
      <c r="E747" s="3" t="str">
        <f>"2507012630"</f>
        <v>2507012630</v>
      </c>
      <c r="F747" s="3" t="str">
        <f t="shared" si="74"/>
        <v>26</v>
      </c>
      <c r="G747" s="4" t="str">
        <f>"30"</f>
        <v>30</v>
      </c>
      <c r="H747" s="5">
        <v>60.6</v>
      </c>
      <c r="I747" s="3"/>
    </row>
    <row r="748" customHeight="1" spans="1:9">
      <c r="A748" s="3" t="str">
        <f t="shared" si="70"/>
        <v>0104</v>
      </c>
      <c r="B748" s="3" t="s">
        <v>15</v>
      </c>
      <c r="C748" s="3" t="str">
        <f>"李莉"</f>
        <v>李莉</v>
      </c>
      <c r="D748" s="3" t="str">
        <f t="shared" si="76"/>
        <v>女</v>
      </c>
      <c r="E748" s="3" t="str">
        <f>"2507012701"</f>
        <v>2507012701</v>
      </c>
      <c r="F748" s="3" t="str">
        <f t="shared" ref="F748:F777" si="77">"27"</f>
        <v>27</v>
      </c>
      <c r="G748" s="4" t="str">
        <f>"01"</f>
        <v>01</v>
      </c>
      <c r="H748" s="5">
        <v>77.6</v>
      </c>
      <c r="I748" s="3"/>
    </row>
    <row r="749" customHeight="1" spans="1:9">
      <c r="A749" s="3" t="str">
        <f t="shared" si="70"/>
        <v>0104</v>
      </c>
      <c r="B749" s="3" t="s">
        <v>15</v>
      </c>
      <c r="C749" s="3" t="str">
        <f>" 崔露萍"</f>
        <v> 崔露萍</v>
      </c>
      <c r="D749" s="3" t="str">
        <f t="shared" si="76"/>
        <v>女</v>
      </c>
      <c r="E749" s="3" t="str">
        <f>"2507012702"</f>
        <v>2507012702</v>
      </c>
      <c r="F749" s="3" t="str">
        <f t="shared" si="77"/>
        <v>27</v>
      </c>
      <c r="G749" s="4" t="str">
        <f>"02"</f>
        <v>02</v>
      </c>
      <c r="H749" s="5">
        <v>55.1</v>
      </c>
      <c r="I749" s="3"/>
    </row>
    <row r="750" customHeight="1" spans="1:9">
      <c r="A750" s="3" t="str">
        <f t="shared" si="70"/>
        <v>0104</v>
      </c>
      <c r="B750" s="3" t="s">
        <v>15</v>
      </c>
      <c r="C750" s="3" t="str">
        <f>"谢萌"</f>
        <v>谢萌</v>
      </c>
      <c r="D750" s="3" t="str">
        <f t="shared" si="76"/>
        <v>女</v>
      </c>
      <c r="E750" s="3" t="str">
        <f>"2507012703"</f>
        <v>2507012703</v>
      </c>
      <c r="F750" s="3" t="str">
        <f t="shared" si="77"/>
        <v>27</v>
      </c>
      <c r="G750" s="4" t="str">
        <f>"03"</f>
        <v>03</v>
      </c>
      <c r="H750" s="5">
        <v>63.9</v>
      </c>
      <c r="I750" s="3"/>
    </row>
    <row r="751" customHeight="1" spans="1:9">
      <c r="A751" s="3" t="str">
        <f t="shared" si="70"/>
        <v>0104</v>
      </c>
      <c r="B751" s="3" t="s">
        <v>15</v>
      </c>
      <c r="C751" s="3" t="str">
        <f>"杜景景"</f>
        <v>杜景景</v>
      </c>
      <c r="D751" s="3" t="str">
        <f t="shared" si="76"/>
        <v>女</v>
      </c>
      <c r="E751" s="3" t="str">
        <f>"2507012704"</f>
        <v>2507012704</v>
      </c>
      <c r="F751" s="3" t="str">
        <f t="shared" si="77"/>
        <v>27</v>
      </c>
      <c r="G751" s="4" t="str">
        <f>"04"</f>
        <v>04</v>
      </c>
      <c r="H751" s="5">
        <v>67</v>
      </c>
      <c r="I751" s="3"/>
    </row>
    <row r="752" customHeight="1" spans="1:9">
      <c r="A752" s="3" t="str">
        <f t="shared" ref="A752:A815" si="78">"0104"</f>
        <v>0104</v>
      </c>
      <c r="B752" s="3" t="s">
        <v>15</v>
      </c>
      <c r="C752" s="3" t="str">
        <f>"龚婷婷"</f>
        <v>龚婷婷</v>
      </c>
      <c r="D752" s="3" t="str">
        <f t="shared" si="76"/>
        <v>女</v>
      </c>
      <c r="E752" s="3" t="str">
        <f>"2507012705"</f>
        <v>2507012705</v>
      </c>
      <c r="F752" s="3" t="str">
        <f t="shared" si="77"/>
        <v>27</v>
      </c>
      <c r="G752" s="4" t="str">
        <f>"05"</f>
        <v>05</v>
      </c>
      <c r="H752" s="5">
        <v>72.1</v>
      </c>
      <c r="I752" s="3"/>
    </row>
    <row r="753" customHeight="1" spans="1:9">
      <c r="A753" s="3" t="str">
        <f t="shared" si="78"/>
        <v>0104</v>
      </c>
      <c r="B753" s="3" t="s">
        <v>15</v>
      </c>
      <c r="C753" s="3" t="str">
        <f>"宫庆苗"</f>
        <v>宫庆苗</v>
      </c>
      <c r="D753" s="3" t="str">
        <f t="shared" si="76"/>
        <v>女</v>
      </c>
      <c r="E753" s="3" t="str">
        <f>"2507012706"</f>
        <v>2507012706</v>
      </c>
      <c r="F753" s="3" t="str">
        <f t="shared" si="77"/>
        <v>27</v>
      </c>
      <c r="G753" s="4" t="str">
        <f>"06"</f>
        <v>06</v>
      </c>
      <c r="H753" s="5">
        <v>42.7</v>
      </c>
      <c r="I753" s="3"/>
    </row>
    <row r="754" customHeight="1" spans="1:9">
      <c r="A754" s="3" t="str">
        <f t="shared" si="78"/>
        <v>0104</v>
      </c>
      <c r="B754" s="3" t="s">
        <v>15</v>
      </c>
      <c r="C754" s="3" t="str">
        <f>"胡赢"</f>
        <v>胡赢</v>
      </c>
      <c r="D754" s="3" t="str">
        <f>"男"</f>
        <v>男</v>
      </c>
      <c r="E754" s="3" t="str">
        <f>"2507012707"</f>
        <v>2507012707</v>
      </c>
      <c r="F754" s="3" t="str">
        <f t="shared" si="77"/>
        <v>27</v>
      </c>
      <c r="G754" s="4" t="str">
        <f>"07"</f>
        <v>07</v>
      </c>
      <c r="H754" s="5">
        <v>0</v>
      </c>
      <c r="I754" s="3" t="s">
        <v>11</v>
      </c>
    </row>
    <row r="755" customHeight="1" spans="1:9">
      <c r="A755" s="3" t="str">
        <f t="shared" si="78"/>
        <v>0104</v>
      </c>
      <c r="B755" s="3" t="s">
        <v>15</v>
      </c>
      <c r="C755" s="3" t="str">
        <f>"张琳琳"</f>
        <v>张琳琳</v>
      </c>
      <c r="D755" s="3" t="str">
        <f>"女"</f>
        <v>女</v>
      </c>
      <c r="E755" s="3" t="str">
        <f>"2507012708"</f>
        <v>2507012708</v>
      </c>
      <c r="F755" s="3" t="str">
        <f t="shared" si="77"/>
        <v>27</v>
      </c>
      <c r="G755" s="4" t="str">
        <f>"08"</f>
        <v>08</v>
      </c>
      <c r="H755" s="5">
        <v>0</v>
      </c>
      <c r="I755" s="3" t="s">
        <v>11</v>
      </c>
    </row>
    <row r="756" customHeight="1" spans="1:9">
      <c r="A756" s="3" t="str">
        <f t="shared" si="78"/>
        <v>0104</v>
      </c>
      <c r="B756" s="3" t="s">
        <v>15</v>
      </c>
      <c r="C756" s="3" t="str">
        <f>"赵呈丰"</f>
        <v>赵呈丰</v>
      </c>
      <c r="D756" s="3" t="str">
        <f>"男"</f>
        <v>男</v>
      </c>
      <c r="E756" s="3" t="str">
        <f>"2507012709"</f>
        <v>2507012709</v>
      </c>
      <c r="F756" s="3" t="str">
        <f t="shared" si="77"/>
        <v>27</v>
      </c>
      <c r="G756" s="4" t="str">
        <f>"09"</f>
        <v>09</v>
      </c>
      <c r="H756" s="5">
        <v>62</v>
      </c>
      <c r="I756" s="3"/>
    </row>
    <row r="757" customHeight="1" spans="1:9">
      <c r="A757" s="3" t="str">
        <f t="shared" si="78"/>
        <v>0104</v>
      </c>
      <c r="B757" s="3" t="s">
        <v>15</v>
      </c>
      <c r="C757" s="3" t="str">
        <f>"梁华英"</f>
        <v>梁华英</v>
      </c>
      <c r="D757" s="3" t="str">
        <f t="shared" ref="D757:D766" si="79">"女"</f>
        <v>女</v>
      </c>
      <c r="E757" s="3" t="str">
        <f>"2507012710"</f>
        <v>2507012710</v>
      </c>
      <c r="F757" s="3" t="str">
        <f t="shared" si="77"/>
        <v>27</v>
      </c>
      <c r="G757" s="4" t="str">
        <f>"10"</f>
        <v>10</v>
      </c>
      <c r="H757" s="5">
        <v>65.8</v>
      </c>
      <c r="I757" s="3"/>
    </row>
    <row r="758" customHeight="1" spans="1:9">
      <c r="A758" s="3" t="str">
        <f t="shared" si="78"/>
        <v>0104</v>
      </c>
      <c r="B758" s="3" t="s">
        <v>15</v>
      </c>
      <c r="C758" s="3" t="str">
        <f>"邵珠颜"</f>
        <v>邵珠颜</v>
      </c>
      <c r="D758" s="3" t="str">
        <f t="shared" si="79"/>
        <v>女</v>
      </c>
      <c r="E758" s="3" t="str">
        <f>"2507012711"</f>
        <v>2507012711</v>
      </c>
      <c r="F758" s="3" t="str">
        <f t="shared" si="77"/>
        <v>27</v>
      </c>
      <c r="G758" s="4" t="str">
        <f>"11"</f>
        <v>11</v>
      </c>
      <c r="H758" s="5">
        <v>57.4</v>
      </c>
      <c r="I758" s="3"/>
    </row>
    <row r="759" customHeight="1" spans="1:9">
      <c r="A759" s="3" t="str">
        <f t="shared" si="78"/>
        <v>0104</v>
      </c>
      <c r="B759" s="3" t="s">
        <v>15</v>
      </c>
      <c r="C759" s="3" t="str">
        <f>"卫佳莉"</f>
        <v>卫佳莉</v>
      </c>
      <c r="D759" s="3" t="str">
        <f t="shared" si="79"/>
        <v>女</v>
      </c>
      <c r="E759" s="3" t="str">
        <f>"2507012712"</f>
        <v>2507012712</v>
      </c>
      <c r="F759" s="3" t="str">
        <f t="shared" si="77"/>
        <v>27</v>
      </c>
      <c r="G759" s="4" t="str">
        <f>"12"</f>
        <v>12</v>
      </c>
      <c r="H759" s="5">
        <v>74.9</v>
      </c>
      <c r="I759" s="3"/>
    </row>
    <row r="760" customHeight="1" spans="1:9">
      <c r="A760" s="3" t="str">
        <f t="shared" si="78"/>
        <v>0104</v>
      </c>
      <c r="B760" s="3" t="s">
        <v>15</v>
      </c>
      <c r="C760" s="3" t="str">
        <f>"孙小清"</f>
        <v>孙小清</v>
      </c>
      <c r="D760" s="3" t="str">
        <f t="shared" si="79"/>
        <v>女</v>
      </c>
      <c r="E760" s="3" t="str">
        <f>"2507012713"</f>
        <v>2507012713</v>
      </c>
      <c r="F760" s="3" t="str">
        <f t="shared" si="77"/>
        <v>27</v>
      </c>
      <c r="G760" s="4" t="str">
        <f>"13"</f>
        <v>13</v>
      </c>
      <c r="H760" s="5">
        <v>47.2</v>
      </c>
      <c r="I760" s="3"/>
    </row>
    <row r="761" customHeight="1" spans="1:9">
      <c r="A761" s="3" t="str">
        <f t="shared" si="78"/>
        <v>0104</v>
      </c>
      <c r="B761" s="3" t="s">
        <v>15</v>
      </c>
      <c r="C761" s="3" t="str">
        <f>"董雨欣"</f>
        <v>董雨欣</v>
      </c>
      <c r="D761" s="3" t="str">
        <f t="shared" si="79"/>
        <v>女</v>
      </c>
      <c r="E761" s="3" t="str">
        <f>"2507012714"</f>
        <v>2507012714</v>
      </c>
      <c r="F761" s="3" t="str">
        <f t="shared" si="77"/>
        <v>27</v>
      </c>
      <c r="G761" s="4" t="str">
        <f>"14"</f>
        <v>14</v>
      </c>
      <c r="H761" s="5">
        <v>63.9</v>
      </c>
      <c r="I761" s="3"/>
    </row>
    <row r="762" customHeight="1" spans="1:9">
      <c r="A762" s="3" t="str">
        <f t="shared" si="78"/>
        <v>0104</v>
      </c>
      <c r="B762" s="3" t="s">
        <v>15</v>
      </c>
      <c r="C762" s="3" t="str">
        <f>"户晗雪"</f>
        <v>户晗雪</v>
      </c>
      <c r="D762" s="3" t="str">
        <f t="shared" si="79"/>
        <v>女</v>
      </c>
      <c r="E762" s="3" t="str">
        <f>"2507012715"</f>
        <v>2507012715</v>
      </c>
      <c r="F762" s="3" t="str">
        <f t="shared" si="77"/>
        <v>27</v>
      </c>
      <c r="G762" s="4" t="str">
        <f>"15"</f>
        <v>15</v>
      </c>
      <c r="H762" s="5">
        <v>60.8</v>
      </c>
      <c r="I762" s="3"/>
    </row>
    <row r="763" customHeight="1" spans="1:9">
      <c r="A763" s="3" t="str">
        <f t="shared" si="78"/>
        <v>0104</v>
      </c>
      <c r="B763" s="3" t="s">
        <v>15</v>
      </c>
      <c r="C763" s="3" t="str">
        <f>"朱伯宸"</f>
        <v>朱伯宸</v>
      </c>
      <c r="D763" s="3" t="str">
        <f t="shared" si="79"/>
        <v>女</v>
      </c>
      <c r="E763" s="3" t="str">
        <f>"2507012716"</f>
        <v>2507012716</v>
      </c>
      <c r="F763" s="3" t="str">
        <f t="shared" si="77"/>
        <v>27</v>
      </c>
      <c r="G763" s="4" t="str">
        <f>"16"</f>
        <v>16</v>
      </c>
      <c r="H763" s="5">
        <v>0</v>
      </c>
      <c r="I763" s="3" t="s">
        <v>11</v>
      </c>
    </row>
    <row r="764" customHeight="1" spans="1:9">
      <c r="A764" s="3" t="str">
        <f t="shared" si="78"/>
        <v>0104</v>
      </c>
      <c r="B764" s="3" t="s">
        <v>15</v>
      </c>
      <c r="C764" s="3" t="str">
        <f>"吴溪若"</f>
        <v>吴溪若</v>
      </c>
      <c r="D764" s="3" t="str">
        <f t="shared" si="79"/>
        <v>女</v>
      </c>
      <c r="E764" s="3" t="str">
        <f>"2507012717"</f>
        <v>2507012717</v>
      </c>
      <c r="F764" s="3" t="str">
        <f t="shared" si="77"/>
        <v>27</v>
      </c>
      <c r="G764" s="4" t="str">
        <f>"17"</f>
        <v>17</v>
      </c>
      <c r="H764" s="5">
        <v>69.4</v>
      </c>
      <c r="I764" s="3"/>
    </row>
    <row r="765" customHeight="1" spans="1:9">
      <c r="A765" s="3" t="str">
        <f t="shared" si="78"/>
        <v>0104</v>
      </c>
      <c r="B765" s="3" t="s">
        <v>15</v>
      </c>
      <c r="C765" s="3" t="str">
        <f>"常安欣"</f>
        <v>常安欣</v>
      </c>
      <c r="D765" s="3" t="str">
        <f t="shared" si="79"/>
        <v>女</v>
      </c>
      <c r="E765" s="3" t="str">
        <f>"2507012718"</f>
        <v>2507012718</v>
      </c>
      <c r="F765" s="3" t="str">
        <f t="shared" si="77"/>
        <v>27</v>
      </c>
      <c r="G765" s="4" t="str">
        <f>"18"</f>
        <v>18</v>
      </c>
      <c r="H765" s="5">
        <v>0</v>
      </c>
      <c r="I765" s="3" t="s">
        <v>11</v>
      </c>
    </row>
    <row r="766" customHeight="1" spans="1:9">
      <c r="A766" s="3" t="str">
        <f t="shared" si="78"/>
        <v>0104</v>
      </c>
      <c r="B766" s="3" t="s">
        <v>15</v>
      </c>
      <c r="C766" s="3" t="str">
        <f>"牛密密"</f>
        <v>牛密密</v>
      </c>
      <c r="D766" s="3" t="str">
        <f t="shared" si="79"/>
        <v>女</v>
      </c>
      <c r="E766" s="3" t="str">
        <f>"2507012719"</f>
        <v>2507012719</v>
      </c>
      <c r="F766" s="3" t="str">
        <f t="shared" si="77"/>
        <v>27</v>
      </c>
      <c r="G766" s="4" t="str">
        <f>"19"</f>
        <v>19</v>
      </c>
      <c r="H766" s="5">
        <v>0</v>
      </c>
      <c r="I766" s="3" t="s">
        <v>11</v>
      </c>
    </row>
    <row r="767" customHeight="1" spans="1:9">
      <c r="A767" s="3" t="str">
        <f t="shared" si="78"/>
        <v>0104</v>
      </c>
      <c r="B767" s="3" t="s">
        <v>15</v>
      </c>
      <c r="C767" s="3" t="str">
        <f>"杨涵清"</f>
        <v>杨涵清</v>
      </c>
      <c r="D767" s="3" t="str">
        <f>"男"</f>
        <v>男</v>
      </c>
      <c r="E767" s="3" t="str">
        <f>"2507012720"</f>
        <v>2507012720</v>
      </c>
      <c r="F767" s="3" t="str">
        <f t="shared" si="77"/>
        <v>27</v>
      </c>
      <c r="G767" s="4" t="str">
        <f>"20"</f>
        <v>20</v>
      </c>
      <c r="H767" s="5">
        <v>63.6</v>
      </c>
      <c r="I767" s="3"/>
    </row>
    <row r="768" customHeight="1" spans="1:9">
      <c r="A768" s="3" t="str">
        <f t="shared" si="78"/>
        <v>0104</v>
      </c>
      <c r="B768" s="3" t="s">
        <v>15</v>
      </c>
      <c r="C768" s="3" t="str">
        <f>"赵昕"</f>
        <v>赵昕</v>
      </c>
      <c r="D768" s="3" t="str">
        <f>"女"</f>
        <v>女</v>
      </c>
      <c r="E768" s="3" t="str">
        <f>"2507012721"</f>
        <v>2507012721</v>
      </c>
      <c r="F768" s="3" t="str">
        <f t="shared" si="77"/>
        <v>27</v>
      </c>
      <c r="G768" s="4" t="str">
        <f>"21"</f>
        <v>21</v>
      </c>
      <c r="H768" s="5">
        <v>41.9</v>
      </c>
      <c r="I768" s="3"/>
    </row>
    <row r="769" customHeight="1" spans="1:9">
      <c r="A769" s="3" t="str">
        <f t="shared" si="78"/>
        <v>0104</v>
      </c>
      <c r="B769" s="3" t="s">
        <v>15</v>
      </c>
      <c r="C769" s="3" t="str">
        <f>"郑浩"</f>
        <v>郑浩</v>
      </c>
      <c r="D769" s="3" t="str">
        <f>"男"</f>
        <v>男</v>
      </c>
      <c r="E769" s="3" t="str">
        <f>"2507012722"</f>
        <v>2507012722</v>
      </c>
      <c r="F769" s="3" t="str">
        <f t="shared" si="77"/>
        <v>27</v>
      </c>
      <c r="G769" s="4" t="str">
        <f>"22"</f>
        <v>22</v>
      </c>
      <c r="H769" s="5">
        <v>0</v>
      </c>
      <c r="I769" s="3" t="s">
        <v>11</v>
      </c>
    </row>
    <row r="770" customHeight="1" spans="1:9">
      <c r="A770" s="3" t="str">
        <f t="shared" si="78"/>
        <v>0104</v>
      </c>
      <c r="B770" s="3" t="s">
        <v>15</v>
      </c>
      <c r="C770" s="3" t="str">
        <f>"刘露"</f>
        <v>刘露</v>
      </c>
      <c r="D770" s="3" t="str">
        <f t="shared" ref="D770:D775" si="80">"女"</f>
        <v>女</v>
      </c>
      <c r="E770" s="3" t="str">
        <f>"2507012723"</f>
        <v>2507012723</v>
      </c>
      <c r="F770" s="3" t="str">
        <f t="shared" si="77"/>
        <v>27</v>
      </c>
      <c r="G770" s="4" t="str">
        <f>"23"</f>
        <v>23</v>
      </c>
      <c r="H770" s="5">
        <v>0</v>
      </c>
      <c r="I770" s="3" t="s">
        <v>11</v>
      </c>
    </row>
    <row r="771" customHeight="1" spans="1:9">
      <c r="A771" s="3" t="str">
        <f t="shared" si="78"/>
        <v>0104</v>
      </c>
      <c r="B771" s="3" t="s">
        <v>15</v>
      </c>
      <c r="C771" s="3" t="str">
        <f>"唐馨田"</f>
        <v>唐馨田</v>
      </c>
      <c r="D771" s="3" t="str">
        <f t="shared" si="80"/>
        <v>女</v>
      </c>
      <c r="E771" s="3" t="str">
        <f>"2507012724"</f>
        <v>2507012724</v>
      </c>
      <c r="F771" s="3" t="str">
        <f t="shared" si="77"/>
        <v>27</v>
      </c>
      <c r="G771" s="4" t="str">
        <f>"24"</f>
        <v>24</v>
      </c>
      <c r="H771" s="5">
        <v>57.9</v>
      </c>
      <c r="I771" s="3"/>
    </row>
    <row r="772" customHeight="1" spans="1:9">
      <c r="A772" s="3" t="str">
        <f t="shared" si="78"/>
        <v>0104</v>
      </c>
      <c r="B772" s="3" t="s">
        <v>15</v>
      </c>
      <c r="C772" s="3" t="str">
        <f>"肖金京"</f>
        <v>肖金京</v>
      </c>
      <c r="D772" s="3" t="str">
        <f t="shared" si="80"/>
        <v>女</v>
      </c>
      <c r="E772" s="3" t="str">
        <f>"2507012725"</f>
        <v>2507012725</v>
      </c>
      <c r="F772" s="3" t="str">
        <f t="shared" si="77"/>
        <v>27</v>
      </c>
      <c r="G772" s="4" t="str">
        <f>"25"</f>
        <v>25</v>
      </c>
      <c r="H772" s="5">
        <v>53.5</v>
      </c>
      <c r="I772" s="3"/>
    </row>
    <row r="773" customHeight="1" spans="1:9">
      <c r="A773" s="3" t="str">
        <f t="shared" si="78"/>
        <v>0104</v>
      </c>
      <c r="B773" s="3" t="s">
        <v>15</v>
      </c>
      <c r="C773" s="3" t="str">
        <f>"张冬花"</f>
        <v>张冬花</v>
      </c>
      <c r="D773" s="3" t="str">
        <f t="shared" si="80"/>
        <v>女</v>
      </c>
      <c r="E773" s="3" t="str">
        <f>"2507012726"</f>
        <v>2507012726</v>
      </c>
      <c r="F773" s="3" t="str">
        <f t="shared" si="77"/>
        <v>27</v>
      </c>
      <c r="G773" s="4" t="str">
        <f>"26"</f>
        <v>26</v>
      </c>
      <c r="H773" s="5">
        <v>55.2</v>
      </c>
      <c r="I773" s="3"/>
    </row>
    <row r="774" customHeight="1" spans="1:9">
      <c r="A774" s="3" t="str">
        <f t="shared" si="78"/>
        <v>0104</v>
      </c>
      <c r="B774" s="3" t="s">
        <v>15</v>
      </c>
      <c r="C774" s="3" t="str">
        <f>"李雅雯"</f>
        <v>李雅雯</v>
      </c>
      <c r="D774" s="3" t="str">
        <f t="shared" si="80"/>
        <v>女</v>
      </c>
      <c r="E774" s="3" t="str">
        <f>"2507012727"</f>
        <v>2507012727</v>
      </c>
      <c r="F774" s="3" t="str">
        <f t="shared" si="77"/>
        <v>27</v>
      </c>
      <c r="G774" s="4" t="str">
        <f>"27"</f>
        <v>27</v>
      </c>
      <c r="H774" s="5">
        <v>70.5</v>
      </c>
      <c r="I774" s="3"/>
    </row>
    <row r="775" customHeight="1" spans="1:9">
      <c r="A775" s="3" t="str">
        <f t="shared" si="78"/>
        <v>0104</v>
      </c>
      <c r="B775" s="3" t="s">
        <v>15</v>
      </c>
      <c r="C775" s="3" t="str">
        <f>"赵凡"</f>
        <v>赵凡</v>
      </c>
      <c r="D775" s="3" t="str">
        <f t="shared" si="80"/>
        <v>女</v>
      </c>
      <c r="E775" s="3" t="str">
        <f>"2507012728"</f>
        <v>2507012728</v>
      </c>
      <c r="F775" s="3" t="str">
        <f t="shared" si="77"/>
        <v>27</v>
      </c>
      <c r="G775" s="4" t="str">
        <f>"28"</f>
        <v>28</v>
      </c>
      <c r="H775" s="5">
        <v>61.4</v>
      </c>
      <c r="I775" s="3"/>
    </row>
    <row r="776" customHeight="1" spans="1:9">
      <c r="A776" s="3" t="str">
        <f t="shared" si="78"/>
        <v>0104</v>
      </c>
      <c r="B776" s="3" t="s">
        <v>15</v>
      </c>
      <c r="C776" s="3" t="str">
        <f>"陈一平"</f>
        <v>陈一平</v>
      </c>
      <c r="D776" s="3" t="str">
        <f>"男"</f>
        <v>男</v>
      </c>
      <c r="E776" s="3" t="str">
        <f>"2507012729"</f>
        <v>2507012729</v>
      </c>
      <c r="F776" s="3" t="str">
        <f t="shared" si="77"/>
        <v>27</v>
      </c>
      <c r="G776" s="4" t="str">
        <f>"29"</f>
        <v>29</v>
      </c>
      <c r="H776" s="5">
        <v>0</v>
      </c>
      <c r="I776" s="3" t="s">
        <v>11</v>
      </c>
    </row>
    <row r="777" customHeight="1" spans="1:9">
      <c r="A777" s="3" t="str">
        <f t="shared" si="78"/>
        <v>0104</v>
      </c>
      <c r="B777" s="3" t="s">
        <v>15</v>
      </c>
      <c r="C777" s="3" t="str">
        <f>"程子晨"</f>
        <v>程子晨</v>
      </c>
      <c r="D777" s="3" t="str">
        <f>"男"</f>
        <v>男</v>
      </c>
      <c r="E777" s="3" t="str">
        <f>"2507012730"</f>
        <v>2507012730</v>
      </c>
      <c r="F777" s="3" t="str">
        <f t="shared" si="77"/>
        <v>27</v>
      </c>
      <c r="G777" s="4" t="str">
        <f>"30"</f>
        <v>30</v>
      </c>
      <c r="H777" s="5">
        <v>0</v>
      </c>
      <c r="I777" s="3" t="s">
        <v>11</v>
      </c>
    </row>
    <row r="778" customHeight="1" spans="1:9">
      <c r="A778" s="3" t="str">
        <f t="shared" si="78"/>
        <v>0104</v>
      </c>
      <c r="B778" s="3" t="s">
        <v>15</v>
      </c>
      <c r="C778" s="3" t="str">
        <f>"董瑞"</f>
        <v>董瑞</v>
      </c>
      <c r="D778" s="3" t="str">
        <f>"女"</f>
        <v>女</v>
      </c>
      <c r="E778" s="3" t="str">
        <f>"2507012801"</f>
        <v>2507012801</v>
      </c>
      <c r="F778" s="3" t="str">
        <f t="shared" ref="F778:F807" si="81">"28"</f>
        <v>28</v>
      </c>
      <c r="G778" s="4" t="str">
        <f>"01"</f>
        <v>01</v>
      </c>
      <c r="H778" s="5">
        <v>63.3</v>
      </c>
      <c r="I778" s="3"/>
    </row>
    <row r="779" customHeight="1" spans="1:9">
      <c r="A779" s="3" t="str">
        <f t="shared" si="78"/>
        <v>0104</v>
      </c>
      <c r="B779" s="3" t="s">
        <v>15</v>
      </c>
      <c r="C779" s="3" t="str">
        <f>"杨林鑫"</f>
        <v>杨林鑫</v>
      </c>
      <c r="D779" s="3" t="str">
        <f>"男"</f>
        <v>男</v>
      </c>
      <c r="E779" s="3" t="str">
        <f>"2507012802"</f>
        <v>2507012802</v>
      </c>
      <c r="F779" s="3" t="str">
        <f t="shared" si="81"/>
        <v>28</v>
      </c>
      <c r="G779" s="4" t="str">
        <f>"02"</f>
        <v>02</v>
      </c>
      <c r="H779" s="5">
        <v>54.2</v>
      </c>
      <c r="I779" s="3"/>
    </row>
    <row r="780" customHeight="1" spans="1:9">
      <c r="A780" s="3" t="str">
        <f t="shared" si="78"/>
        <v>0104</v>
      </c>
      <c r="B780" s="3" t="s">
        <v>15</v>
      </c>
      <c r="C780" s="3" t="str">
        <f>"牛梦"</f>
        <v>牛梦</v>
      </c>
      <c r="D780" s="3" t="str">
        <f>"女"</f>
        <v>女</v>
      </c>
      <c r="E780" s="3" t="str">
        <f>"2507012803"</f>
        <v>2507012803</v>
      </c>
      <c r="F780" s="3" t="str">
        <f t="shared" si="81"/>
        <v>28</v>
      </c>
      <c r="G780" s="4" t="str">
        <f>"03"</f>
        <v>03</v>
      </c>
      <c r="H780" s="5">
        <v>74.9</v>
      </c>
      <c r="I780" s="3"/>
    </row>
    <row r="781" customHeight="1" spans="1:9">
      <c r="A781" s="3" t="str">
        <f t="shared" si="78"/>
        <v>0104</v>
      </c>
      <c r="B781" s="3" t="s">
        <v>15</v>
      </c>
      <c r="C781" s="3" t="str">
        <f>"王站"</f>
        <v>王站</v>
      </c>
      <c r="D781" s="3" t="str">
        <f>"男"</f>
        <v>男</v>
      </c>
      <c r="E781" s="3" t="str">
        <f>"2507012804"</f>
        <v>2507012804</v>
      </c>
      <c r="F781" s="3" t="str">
        <f t="shared" si="81"/>
        <v>28</v>
      </c>
      <c r="G781" s="4" t="str">
        <f>"04"</f>
        <v>04</v>
      </c>
      <c r="H781" s="5">
        <v>32.9</v>
      </c>
      <c r="I781" s="3"/>
    </row>
    <row r="782" customHeight="1" spans="1:9">
      <c r="A782" s="3" t="str">
        <f t="shared" si="78"/>
        <v>0104</v>
      </c>
      <c r="B782" s="3" t="s">
        <v>15</v>
      </c>
      <c r="C782" s="3" t="str">
        <f>"杨佳佳"</f>
        <v>杨佳佳</v>
      </c>
      <c r="D782" s="3" t="str">
        <f t="shared" ref="D782:D836" si="82">"女"</f>
        <v>女</v>
      </c>
      <c r="E782" s="3" t="str">
        <f>"2507012805"</f>
        <v>2507012805</v>
      </c>
      <c r="F782" s="3" t="str">
        <f t="shared" si="81"/>
        <v>28</v>
      </c>
      <c r="G782" s="4" t="str">
        <f>"05"</f>
        <v>05</v>
      </c>
      <c r="H782" s="5">
        <v>74.5</v>
      </c>
      <c r="I782" s="3"/>
    </row>
    <row r="783" customHeight="1" spans="1:9">
      <c r="A783" s="3" t="str">
        <f t="shared" si="78"/>
        <v>0104</v>
      </c>
      <c r="B783" s="3" t="s">
        <v>15</v>
      </c>
      <c r="C783" s="3" t="str">
        <f>"祝倩"</f>
        <v>祝倩</v>
      </c>
      <c r="D783" s="3" t="str">
        <f t="shared" si="82"/>
        <v>女</v>
      </c>
      <c r="E783" s="3" t="str">
        <f>"2507012806"</f>
        <v>2507012806</v>
      </c>
      <c r="F783" s="3" t="str">
        <f t="shared" si="81"/>
        <v>28</v>
      </c>
      <c r="G783" s="4" t="str">
        <f>"06"</f>
        <v>06</v>
      </c>
      <c r="H783" s="5">
        <v>58.1</v>
      </c>
      <c r="I783" s="3"/>
    </row>
    <row r="784" customHeight="1" spans="1:9">
      <c r="A784" s="3" t="str">
        <f t="shared" si="78"/>
        <v>0104</v>
      </c>
      <c r="B784" s="3" t="s">
        <v>15</v>
      </c>
      <c r="C784" s="3" t="str">
        <f>"唐宁"</f>
        <v>唐宁</v>
      </c>
      <c r="D784" s="3" t="str">
        <f t="shared" si="82"/>
        <v>女</v>
      </c>
      <c r="E784" s="3" t="str">
        <f>"2507012807"</f>
        <v>2507012807</v>
      </c>
      <c r="F784" s="3" t="str">
        <f t="shared" si="81"/>
        <v>28</v>
      </c>
      <c r="G784" s="4" t="str">
        <f>"07"</f>
        <v>07</v>
      </c>
      <c r="H784" s="5">
        <v>64</v>
      </c>
      <c r="I784" s="3"/>
    </row>
    <row r="785" customHeight="1" spans="1:9">
      <c r="A785" s="3" t="str">
        <f t="shared" si="78"/>
        <v>0104</v>
      </c>
      <c r="B785" s="3" t="s">
        <v>15</v>
      </c>
      <c r="C785" s="3" t="str">
        <f>"刘静雯"</f>
        <v>刘静雯</v>
      </c>
      <c r="D785" s="3" t="str">
        <f t="shared" si="82"/>
        <v>女</v>
      </c>
      <c r="E785" s="3" t="str">
        <f>"2507012808"</f>
        <v>2507012808</v>
      </c>
      <c r="F785" s="3" t="str">
        <f t="shared" si="81"/>
        <v>28</v>
      </c>
      <c r="G785" s="4" t="str">
        <f>"08"</f>
        <v>08</v>
      </c>
      <c r="H785" s="5">
        <v>74.7</v>
      </c>
      <c r="I785" s="3"/>
    </row>
    <row r="786" customHeight="1" spans="1:9">
      <c r="A786" s="3" t="str">
        <f t="shared" si="78"/>
        <v>0104</v>
      </c>
      <c r="B786" s="3" t="s">
        <v>15</v>
      </c>
      <c r="C786" s="3" t="str">
        <f>"陆嘉慧"</f>
        <v>陆嘉慧</v>
      </c>
      <c r="D786" s="3" t="str">
        <f t="shared" si="82"/>
        <v>女</v>
      </c>
      <c r="E786" s="3" t="str">
        <f>"2507012809"</f>
        <v>2507012809</v>
      </c>
      <c r="F786" s="3" t="str">
        <f t="shared" si="81"/>
        <v>28</v>
      </c>
      <c r="G786" s="4" t="str">
        <f>"09"</f>
        <v>09</v>
      </c>
      <c r="H786" s="5">
        <v>0</v>
      </c>
      <c r="I786" s="3" t="s">
        <v>11</v>
      </c>
    </row>
    <row r="787" customHeight="1" spans="1:9">
      <c r="A787" s="3" t="str">
        <f t="shared" si="78"/>
        <v>0104</v>
      </c>
      <c r="B787" s="3" t="s">
        <v>15</v>
      </c>
      <c r="C787" s="3" t="str">
        <f>"李梦"</f>
        <v>李梦</v>
      </c>
      <c r="D787" s="3" t="str">
        <f t="shared" si="82"/>
        <v>女</v>
      </c>
      <c r="E787" s="3" t="str">
        <f>"2507012810"</f>
        <v>2507012810</v>
      </c>
      <c r="F787" s="3" t="str">
        <f t="shared" si="81"/>
        <v>28</v>
      </c>
      <c r="G787" s="4" t="str">
        <f>"10"</f>
        <v>10</v>
      </c>
      <c r="H787" s="5">
        <v>70.2</v>
      </c>
      <c r="I787" s="3"/>
    </row>
    <row r="788" customHeight="1" spans="1:9">
      <c r="A788" s="3" t="str">
        <f t="shared" si="78"/>
        <v>0104</v>
      </c>
      <c r="B788" s="3" t="s">
        <v>15</v>
      </c>
      <c r="C788" s="3" t="str">
        <f>"刘旭"</f>
        <v>刘旭</v>
      </c>
      <c r="D788" s="3" t="str">
        <f t="shared" si="82"/>
        <v>女</v>
      </c>
      <c r="E788" s="3" t="str">
        <f>"2507012811"</f>
        <v>2507012811</v>
      </c>
      <c r="F788" s="3" t="str">
        <f t="shared" si="81"/>
        <v>28</v>
      </c>
      <c r="G788" s="4" t="str">
        <f>"11"</f>
        <v>11</v>
      </c>
      <c r="H788" s="5">
        <v>0</v>
      </c>
      <c r="I788" s="3" t="s">
        <v>11</v>
      </c>
    </row>
    <row r="789" customHeight="1" spans="1:9">
      <c r="A789" s="3" t="str">
        <f t="shared" si="78"/>
        <v>0104</v>
      </c>
      <c r="B789" s="3" t="s">
        <v>15</v>
      </c>
      <c r="C789" s="3" t="str">
        <f>"石祥玥"</f>
        <v>石祥玥</v>
      </c>
      <c r="D789" s="3" t="str">
        <f t="shared" si="82"/>
        <v>女</v>
      </c>
      <c r="E789" s="3" t="str">
        <f>"2507012812"</f>
        <v>2507012812</v>
      </c>
      <c r="F789" s="3" t="str">
        <f t="shared" si="81"/>
        <v>28</v>
      </c>
      <c r="G789" s="4" t="str">
        <f>"12"</f>
        <v>12</v>
      </c>
      <c r="H789" s="5">
        <v>0</v>
      </c>
      <c r="I789" s="3" t="s">
        <v>11</v>
      </c>
    </row>
    <row r="790" customHeight="1" spans="1:9">
      <c r="A790" s="3" t="str">
        <f t="shared" si="78"/>
        <v>0104</v>
      </c>
      <c r="B790" s="3" t="s">
        <v>15</v>
      </c>
      <c r="C790" s="3" t="str">
        <f>"王苗"</f>
        <v>王苗</v>
      </c>
      <c r="D790" s="3" t="str">
        <f t="shared" si="82"/>
        <v>女</v>
      </c>
      <c r="E790" s="3" t="str">
        <f>"2507012813"</f>
        <v>2507012813</v>
      </c>
      <c r="F790" s="3" t="str">
        <f t="shared" si="81"/>
        <v>28</v>
      </c>
      <c r="G790" s="4" t="str">
        <f>"13"</f>
        <v>13</v>
      </c>
      <c r="H790" s="5">
        <v>0</v>
      </c>
      <c r="I790" s="3" t="s">
        <v>11</v>
      </c>
    </row>
    <row r="791" customHeight="1" spans="1:9">
      <c r="A791" s="3" t="str">
        <f t="shared" si="78"/>
        <v>0104</v>
      </c>
      <c r="B791" s="3" t="s">
        <v>15</v>
      </c>
      <c r="C791" s="3" t="str">
        <f>"刘天奇"</f>
        <v>刘天奇</v>
      </c>
      <c r="D791" s="3" t="str">
        <f t="shared" si="82"/>
        <v>女</v>
      </c>
      <c r="E791" s="3" t="str">
        <f>"2507012814"</f>
        <v>2507012814</v>
      </c>
      <c r="F791" s="3" t="str">
        <f t="shared" si="81"/>
        <v>28</v>
      </c>
      <c r="G791" s="4" t="str">
        <f>"14"</f>
        <v>14</v>
      </c>
      <c r="H791" s="5">
        <v>0</v>
      </c>
      <c r="I791" s="3" t="s">
        <v>11</v>
      </c>
    </row>
    <row r="792" customHeight="1" spans="1:9">
      <c r="A792" s="3" t="str">
        <f t="shared" si="78"/>
        <v>0104</v>
      </c>
      <c r="B792" s="3" t="s">
        <v>15</v>
      </c>
      <c r="C792" s="3" t="str">
        <f>"周扣女"</f>
        <v>周扣女</v>
      </c>
      <c r="D792" s="3" t="str">
        <f t="shared" si="82"/>
        <v>女</v>
      </c>
      <c r="E792" s="3" t="str">
        <f>"2507012815"</f>
        <v>2507012815</v>
      </c>
      <c r="F792" s="3" t="str">
        <f t="shared" si="81"/>
        <v>28</v>
      </c>
      <c r="G792" s="4" t="str">
        <f>"15"</f>
        <v>15</v>
      </c>
      <c r="H792" s="5">
        <v>0</v>
      </c>
      <c r="I792" s="3" t="s">
        <v>11</v>
      </c>
    </row>
    <row r="793" customHeight="1" spans="1:9">
      <c r="A793" s="3" t="str">
        <f t="shared" si="78"/>
        <v>0104</v>
      </c>
      <c r="B793" s="3" t="s">
        <v>15</v>
      </c>
      <c r="C793" s="3" t="str">
        <f>"胡雨晴"</f>
        <v>胡雨晴</v>
      </c>
      <c r="D793" s="3" t="str">
        <f t="shared" si="82"/>
        <v>女</v>
      </c>
      <c r="E793" s="3" t="str">
        <f>"2507012816"</f>
        <v>2507012816</v>
      </c>
      <c r="F793" s="3" t="str">
        <f t="shared" si="81"/>
        <v>28</v>
      </c>
      <c r="G793" s="4" t="str">
        <f>"16"</f>
        <v>16</v>
      </c>
      <c r="H793" s="5">
        <v>0</v>
      </c>
      <c r="I793" s="3" t="s">
        <v>11</v>
      </c>
    </row>
    <row r="794" customHeight="1" spans="1:9">
      <c r="A794" s="3" t="str">
        <f t="shared" si="78"/>
        <v>0104</v>
      </c>
      <c r="B794" s="3" t="s">
        <v>15</v>
      </c>
      <c r="C794" s="3" t="str">
        <f>"陈薏蓬"</f>
        <v>陈薏蓬</v>
      </c>
      <c r="D794" s="3" t="str">
        <f t="shared" si="82"/>
        <v>女</v>
      </c>
      <c r="E794" s="3" t="str">
        <f>"2507012817"</f>
        <v>2507012817</v>
      </c>
      <c r="F794" s="3" t="str">
        <f t="shared" si="81"/>
        <v>28</v>
      </c>
      <c r="G794" s="4" t="str">
        <f>"17"</f>
        <v>17</v>
      </c>
      <c r="H794" s="5">
        <v>0</v>
      </c>
      <c r="I794" s="3" t="s">
        <v>11</v>
      </c>
    </row>
    <row r="795" customHeight="1" spans="1:9">
      <c r="A795" s="3" t="str">
        <f t="shared" si="78"/>
        <v>0104</v>
      </c>
      <c r="B795" s="3" t="s">
        <v>15</v>
      </c>
      <c r="C795" s="3" t="str">
        <f>"马跃文"</f>
        <v>马跃文</v>
      </c>
      <c r="D795" s="3" t="str">
        <f t="shared" si="82"/>
        <v>女</v>
      </c>
      <c r="E795" s="3" t="str">
        <f>"2507012818"</f>
        <v>2507012818</v>
      </c>
      <c r="F795" s="3" t="str">
        <f t="shared" si="81"/>
        <v>28</v>
      </c>
      <c r="G795" s="4" t="str">
        <f>"18"</f>
        <v>18</v>
      </c>
      <c r="H795" s="5">
        <v>0</v>
      </c>
      <c r="I795" s="3" t="s">
        <v>11</v>
      </c>
    </row>
    <row r="796" customHeight="1" spans="1:9">
      <c r="A796" s="3" t="str">
        <f t="shared" si="78"/>
        <v>0104</v>
      </c>
      <c r="B796" s="3" t="s">
        <v>15</v>
      </c>
      <c r="C796" s="3" t="str">
        <f>"吴桐"</f>
        <v>吴桐</v>
      </c>
      <c r="D796" s="3" t="str">
        <f t="shared" si="82"/>
        <v>女</v>
      </c>
      <c r="E796" s="3" t="str">
        <f>"2507012819"</f>
        <v>2507012819</v>
      </c>
      <c r="F796" s="3" t="str">
        <f t="shared" si="81"/>
        <v>28</v>
      </c>
      <c r="G796" s="4" t="str">
        <f>"19"</f>
        <v>19</v>
      </c>
      <c r="H796" s="5">
        <v>67.4</v>
      </c>
      <c r="I796" s="3"/>
    </row>
    <row r="797" customHeight="1" spans="1:9">
      <c r="A797" s="3" t="str">
        <f t="shared" si="78"/>
        <v>0104</v>
      </c>
      <c r="B797" s="3" t="s">
        <v>15</v>
      </c>
      <c r="C797" s="3" t="str">
        <f>"张烨"</f>
        <v>张烨</v>
      </c>
      <c r="D797" s="3" t="str">
        <f t="shared" si="82"/>
        <v>女</v>
      </c>
      <c r="E797" s="3" t="str">
        <f>"2507012820"</f>
        <v>2507012820</v>
      </c>
      <c r="F797" s="3" t="str">
        <f t="shared" si="81"/>
        <v>28</v>
      </c>
      <c r="G797" s="4" t="str">
        <f>"20"</f>
        <v>20</v>
      </c>
      <c r="H797" s="5">
        <v>0</v>
      </c>
      <c r="I797" s="3" t="s">
        <v>11</v>
      </c>
    </row>
    <row r="798" customHeight="1" spans="1:9">
      <c r="A798" s="3" t="str">
        <f t="shared" si="78"/>
        <v>0104</v>
      </c>
      <c r="B798" s="3" t="s">
        <v>15</v>
      </c>
      <c r="C798" s="3" t="str">
        <f>"汪岩"</f>
        <v>汪岩</v>
      </c>
      <c r="D798" s="3" t="str">
        <f t="shared" si="82"/>
        <v>女</v>
      </c>
      <c r="E798" s="3" t="str">
        <f>"2507012821"</f>
        <v>2507012821</v>
      </c>
      <c r="F798" s="3" t="str">
        <f t="shared" si="81"/>
        <v>28</v>
      </c>
      <c r="G798" s="4" t="str">
        <f>"21"</f>
        <v>21</v>
      </c>
      <c r="H798" s="5">
        <v>0</v>
      </c>
      <c r="I798" s="3" t="s">
        <v>11</v>
      </c>
    </row>
    <row r="799" customHeight="1" spans="1:9">
      <c r="A799" s="3" t="str">
        <f t="shared" si="78"/>
        <v>0104</v>
      </c>
      <c r="B799" s="3" t="s">
        <v>15</v>
      </c>
      <c r="C799" s="3" t="str">
        <f>"段思瑶"</f>
        <v>段思瑶</v>
      </c>
      <c r="D799" s="3" t="str">
        <f t="shared" si="82"/>
        <v>女</v>
      </c>
      <c r="E799" s="3" t="str">
        <f>"2507012822"</f>
        <v>2507012822</v>
      </c>
      <c r="F799" s="3" t="str">
        <f t="shared" si="81"/>
        <v>28</v>
      </c>
      <c r="G799" s="4" t="str">
        <f>"22"</f>
        <v>22</v>
      </c>
      <c r="H799" s="5">
        <v>0</v>
      </c>
      <c r="I799" s="3" t="s">
        <v>11</v>
      </c>
    </row>
    <row r="800" customHeight="1" spans="1:9">
      <c r="A800" s="3" t="str">
        <f t="shared" si="78"/>
        <v>0104</v>
      </c>
      <c r="B800" s="3" t="s">
        <v>15</v>
      </c>
      <c r="C800" s="3" t="str">
        <f>"韩春曦"</f>
        <v>韩春曦</v>
      </c>
      <c r="D800" s="3" t="str">
        <f t="shared" si="82"/>
        <v>女</v>
      </c>
      <c r="E800" s="3" t="str">
        <f>"2507012823"</f>
        <v>2507012823</v>
      </c>
      <c r="F800" s="3" t="str">
        <f t="shared" si="81"/>
        <v>28</v>
      </c>
      <c r="G800" s="4" t="str">
        <f>"23"</f>
        <v>23</v>
      </c>
      <c r="H800" s="5">
        <v>0</v>
      </c>
      <c r="I800" s="3" t="s">
        <v>11</v>
      </c>
    </row>
    <row r="801" customHeight="1" spans="1:9">
      <c r="A801" s="3" t="str">
        <f t="shared" si="78"/>
        <v>0104</v>
      </c>
      <c r="B801" s="3" t="s">
        <v>15</v>
      </c>
      <c r="C801" s="3" t="str">
        <f>"于清"</f>
        <v>于清</v>
      </c>
      <c r="D801" s="3" t="str">
        <f t="shared" si="82"/>
        <v>女</v>
      </c>
      <c r="E801" s="3" t="str">
        <f>"2507012824"</f>
        <v>2507012824</v>
      </c>
      <c r="F801" s="3" t="str">
        <f t="shared" si="81"/>
        <v>28</v>
      </c>
      <c r="G801" s="4" t="str">
        <f>"24"</f>
        <v>24</v>
      </c>
      <c r="H801" s="5">
        <v>67.5</v>
      </c>
      <c r="I801" s="3"/>
    </row>
    <row r="802" customHeight="1" spans="1:9">
      <c r="A802" s="3" t="str">
        <f t="shared" si="78"/>
        <v>0104</v>
      </c>
      <c r="B802" s="3" t="s">
        <v>15</v>
      </c>
      <c r="C802" s="3" t="str">
        <f>"王菁"</f>
        <v>王菁</v>
      </c>
      <c r="D802" s="3" t="str">
        <f t="shared" si="82"/>
        <v>女</v>
      </c>
      <c r="E802" s="3" t="str">
        <f>"2507012825"</f>
        <v>2507012825</v>
      </c>
      <c r="F802" s="3" t="str">
        <f t="shared" si="81"/>
        <v>28</v>
      </c>
      <c r="G802" s="4" t="str">
        <f>"25"</f>
        <v>25</v>
      </c>
      <c r="H802" s="5">
        <v>71</v>
      </c>
      <c r="I802" s="3"/>
    </row>
    <row r="803" customHeight="1" spans="1:9">
      <c r="A803" s="3" t="str">
        <f t="shared" si="78"/>
        <v>0104</v>
      </c>
      <c r="B803" s="3" t="s">
        <v>15</v>
      </c>
      <c r="C803" s="3" t="str">
        <f>"孔凌雨"</f>
        <v>孔凌雨</v>
      </c>
      <c r="D803" s="3" t="str">
        <f t="shared" si="82"/>
        <v>女</v>
      </c>
      <c r="E803" s="3" t="str">
        <f>"2507012826"</f>
        <v>2507012826</v>
      </c>
      <c r="F803" s="3" t="str">
        <f t="shared" si="81"/>
        <v>28</v>
      </c>
      <c r="G803" s="4" t="str">
        <f>"26"</f>
        <v>26</v>
      </c>
      <c r="H803" s="5">
        <v>73.4</v>
      </c>
      <c r="I803" s="3"/>
    </row>
    <row r="804" customHeight="1" spans="1:9">
      <c r="A804" s="3" t="str">
        <f t="shared" si="78"/>
        <v>0104</v>
      </c>
      <c r="B804" s="3" t="s">
        <v>15</v>
      </c>
      <c r="C804" s="3" t="str">
        <f>"李梦祺"</f>
        <v>李梦祺</v>
      </c>
      <c r="D804" s="3" t="str">
        <f t="shared" si="82"/>
        <v>女</v>
      </c>
      <c r="E804" s="3" t="str">
        <f>"2507012827"</f>
        <v>2507012827</v>
      </c>
      <c r="F804" s="3" t="str">
        <f t="shared" si="81"/>
        <v>28</v>
      </c>
      <c r="G804" s="4" t="str">
        <f>"27"</f>
        <v>27</v>
      </c>
      <c r="H804" s="5">
        <v>61.5</v>
      </c>
      <c r="I804" s="3"/>
    </row>
    <row r="805" customHeight="1" spans="1:9">
      <c r="A805" s="3" t="str">
        <f t="shared" si="78"/>
        <v>0104</v>
      </c>
      <c r="B805" s="3" t="s">
        <v>15</v>
      </c>
      <c r="C805" s="3" t="str">
        <f>"李瑾"</f>
        <v>李瑾</v>
      </c>
      <c r="D805" s="3" t="str">
        <f t="shared" si="82"/>
        <v>女</v>
      </c>
      <c r="E805" s="3" t="str">
        <f>"2507012828"</f>
        <v>2507012828</v>
      </c>
      <c r="F805" s="3" t="str">
        <f t="shared" si="81"/>
        <v>28</v>
      </c>
      <c r="G805" s="4" t="str">
        <f>"28"</f>
        <v>28</v>
      </c>
      <c r="H805" s="5">
        <v>68.9</v>
      </c>
      <c r="I805" s="3"/>
    </row>
    <row r="806" customHeight="1" spans="1:9">
      <c r="A806" s="3" t="str">
        <f t="shared" si="78"/>
        <v>0104</v>
      </c>
      <c r="B806" s="3" t="s">
        <v>15</v>
      </c>
      <c r="C806" s="3" t="str">
        <f>"李熙"</f>
        <v>李熙</v>
      </c>
      <c r="D806" s="3" t="str">
        <f t="shared" si="82"/>
        <v>女</v>
      </c>
      <c r="E806" s="3" t="str">
        <f>"2507012829"</f>
        <v>2507012829</v>
      </c>
      <c r="F806" s="3" t="str">
        <f t="shared" si="81"/>
        <v>28</v>
      </c>
      <c r="G806" s="4" t="str">
        <f>"29"</f>
        <v>29</v>
      </c>
      <c r="H806" s="5">
        <v>51.6</v>
      </c>
      <c r="I806" s="3"/>
    </row>
    <row r="807" customHeight="1" spans="1:9">
      <c r="A807" s="3" t="str">
        <f t="shared" si="78"/>
        <v>0104</v>
      </c>
      <c r="B807" s="3" t="s">
        <v>15</v>
      </c>
      <c r="C807" s="3" t="str">
        <f>"鲁菲"</f>
        <v>鲁菲</v>
      </c>
      <c r="D807" s="3" t="str">
        <f t="shared" si="82"/>
        <v>女</v>
      </c>
      <c r="E807" s="3" t="str">
        <f>"2507012830"</f>
        <v>2507012830</v>
      </c>
      <c r="F807" s="3" t="str">
        <f t="shared" si="81"/>
        <v>28</v>
      </c>
      <c r="G807" s="4" t="str">
        <f>"30"</f>
        <v>30</v>
      </c>
      <c r="H807" s="5">
        <v>69.9</v>
      </c>
      <c r="I807" s="3"/>
    </row>
    <row r="808" customHeight="1" spans="1:9">
      <c r="A808" s="3" t="str">
        <f t="shared" si="78"/>
        <v>0104</v>
      </c>
      <c r="B808" s="3" t="s">
        <v>15</v>
      </c>
      <c r="C808" s="3" t="str">
        <f>"魏雅楠"</f>
        <v>魏雅楠</v>
      </c>
      <c r="D808" s="3" t="str">
        <f t="shared" si="82"/>
        <v>女</v>
      </c>
      <c r="E808" s="3" t="str">
        <f>"2507012901"</f>
        <v>2507012901</v>
      </c>
      <c r="F808" s="3" t="str">
        <f t="shared" ref="F808:F837" si="83">"29"</f>
        <v>29</v>
      </c>
      <c r="G808" s="4" t="str">
        <f>"01"</f>
        <v>01</v>
      </c>
      <c r="H808" s="5">
        <v>71.8</v>
      </c>
      <c r="I808" s="3"/>
    </row>
    <row r="809" customHeight="1" spans="1:9">
      <c r="A809" s="3" t="str">
        <f t="shared" si="78"/>
        <v>0104</v>
      </c>
      <c r="B809" s="3" t="s">
        <v>15</v>
      </c>
      <c r="C809" s="3" t="str">
        <f>"魏雅婷"</f>
        <v>魏雅婷</v>
      </c>
      <c r="D809" s="3" t="str">
        <f t="shared" si="82"/>
        <v>女</v>
      </c>
      <c r="E809" s="3" t="str">
        <f>"2507012902"</f>
        <v>2507012902</v>
      </c>
      <c r="F809" s="3" t="str">
        <f t="shared" si="83"/>
        <v>29</v>
      </c>
      <c r="G809" s="4" t="str">
        <f>"02"</f>
        <v>02</v>
      </c>
      <c r="H809" s="5">
        <v>70.9</v>
      </c>
      <c r="I809" s="3"/>
    </row>
    <row r="810" customHeight="1" spans="1:9">
      <c r="A810" s="3" t="str">
        <f t="shared" si="78"/>
        <v>0104</v>
      </c>
      <c r="B810" s="3" t="s">
        <v>15</v>
      </c>
      <c r="C810" s="3" t="str">
        <f>"吴晴"</f>
        <v>吴晴</v>
      </c>
      <c r="D810" s="3" t="str">
        <f t="shared" si="82"/>
        <v>女</v>
      </c>
      <c r="E810" s="3" t="str">
        <f>"2507012903"</f>
        <v>2507012903</v>
      </c>
      <c r="F810" s="3" t="str">
        <f t="shared" si="83"/>
        <v>29</v>
      </c>
      <c r="G810" s="4" t="str">
        <f>"03"</f>
        <v>03</v>
      </c>
      <c r="H810" s="5">
        <v>54.6</v>
      </c>
      <c r="I810" s="3"/>
    </row>
    <row r="811" customHeight="1" spans="1:9">
      <c r="A811" s="3" t="str">
        <f t="shared" si="78"/>
        <v>0104</v>
      </c>
      <c r="B811" s="3" t="s">
        <v>15</v>
      </c>
      <c r="C811" s="3" t="str">
        <f>"王心雨"</f>
        <v>王心雨</v>
      </c>
      <c r="D811" s="3" t="str">
        <f t="shared" si="82"/>
        <v>女</v>
      </c>
      <c r="E811" s="3" t="str">
        <f>"2507012904"</f>
        <v>2507012904</v>
      </c>
      <c r="F811" s="3" t="str">
        <f t="shared" si="83"/>
        <v>29</v>
      </c>
      <c r="G811" s="4" t="str">
        <f>"04"</f>
        <v>04</v>
      </c>
      <c r="H811" s="5">
        <v>67.8</v>
      </c>
      <c r="I811" s="3"/>
    </row>
    <row r="812" customHeight="1" spans="1:9">
      <c r="A812" s="3" t="str">
        <f t="shared" si="78"/>
        <v>0104</v>
      </c>
      <c r="B812" s="3" t="s">
        <v>15</v>
      </c>
      <c r="C812" s="3" t="str">
        <f>"李子薇"</f>
        <v>李子薇</v>
      </c>
      <c r="D812" s="3" t="str">
        <f t="shared" si="82"/>
        <v>女</v>
      </c>
      <c r="E812" s="3" t="str">
        <f>"2507012905"</f>
        <v>2507012905</v>
      </c>
      <c r="F812" s="3" t="str">
        <f t="shared" si="83"/>
        <v>29</v>
      </c>
      <c r="G812" s="4" t="str">
        <f>"05"</f>
        <v>05</v>
      </c>
      <c r="H812" s="5">
        <v>62.5</v>
      </c>
      <c r="I812" s="3"/>
    </row>
    <row r="813" customHeight="1" spans="1:9">
      <c r="A813" s="3" t="str">
        <f t="shared" si="78"/>
        <v>0104</v>
      </c>
      <c r="B813" s="3" t="s">
        <v>15</v>
      </c>
      <c r="C813" s="3" t="str">
        <f>"李晨"</f>
        <v>李晨</v>
      </c>
      <c r="D813" s="3" t="str">
        <f t="shared" si="82"/>
        <v>女</v>
      </c>
      <c r="E813" s="3" t="str">
        <f>"2507012906"</f>
        <v>2507012906</v>
      </c>
      <c r="F813" s="3" t="str">
        <f t="shared" si="83"/>
        <v>29</v>
      </c>
      <c r="G813" s="4" t="str">
        <f>"06"</f>
        <v>06</v>
      </c>
      <c r="H813" s="5">
        <v>0</v>
      </c>
      <c r="I813" s="3" t="s">
        <v>11</v>
      </c>
    </row>
    <row r="814" customHeight="1" spans="1:9">
      <c r="A814" s="3" t="str">
        <f t="shared" si="78"/>
        <v>0104</v>
      </c>
      <c r="B814" s="3" t="s">
        <v>15</v>
      </c>
      <c r="C814" s="3" t="str">
        <f>"魏欣"</f>
        <v>魏欣</v>
      </c>
      <c r="D814" s="3" t="str">
        <f t="shared" si="82"/>
        <v>女</v>
      </c>
      <c r="E814" s="3" t="str">
        <f>"2507012907"</f>
        <v>2507012907</v>
      </c>
      <c r="F814" s="3" t="str">
        <f t="shared" si="83"/>
        <v>29</v>
      </c>
      <c r="G814" s="4" t="str">
        <f>"07"</f>
        <v>07</v>
      </c>
      <c r="H814" s="5">
        <v>50.5</v>
      </c>
      <c r="I814" s="3"/>
    </row>
    <row r="815" customHeight="1" spans="1:9">
      <c r="A815" s="3" t="str">
        <f t="shared" si="78"/>
        <v>0104</v>
      </c>
      <c r="B815" s="3" t="s">
        <v>15</v>
      </c>
      <c r="C815" s="3" t="str">
        <f>"刘玉洋"</f>
        <v>刘玉洋</v>
      </c>
      <c r="D815" s="3" t="str">
        <f t="shared" si="82"/>
        <v>女</v>
      </c>
      <c r="E815" s="3" t="str">
        <f>"2507012908"</f>
        <v>2507012908</v>
      </c>
      <c r="F815" s="3" t="str">
        <f t="shared" si="83"/>
        <v>29</v>
      </c>
      <c r="G815" s="4" t="str">
        <f>"08"</f>
        <v>08</v>
      </c>
      <c r="H815" s="5">
        <v>0</v>
      </c>
      <c r="I815" s="3" t="s">
        <v>11</v>
      </c>
    </row>
    <row r="816" customHeight="1" spans="1:9">
      <c r="A816" s="3" t="str">
        <f t="shared" ref="A816:A879" si="84">"0104"</f>
        <v>0104</v>
      </c>
      <c r="B816" s="3" t="s">
        <v>15</v>
      </c>
      <c r="C816" s="3" t="str">
        <f>"李梦圆"</f>
        <v>李梦圆</v>
      </c>
      <c r="D816" s="3" t="str">
        <f t="shared" si="82"/>
        <v>女</v>
      </c>
      <c r="E816" s="3" t="str">
        <f>"2507012909"</f>
        <v>2507012909</v>
      </c>
      <c r="F816" s="3" t="str">
        <f t="shared" si="83"/>
        <v>29</v>
      </c>
      <c r="G816" s="4" t="str">
        <f>"09"</f>
        <v>09</v>
      </c>
      <c r="H816" s="5">
        <v>65.9</v>
      </c>
      <c r="I816" s="3"/>
    </row>
    <row r="817" customHeight="1" spans="1:9">
      <c r="A817" s="3" t="str">
        <f t="shared" si="84"/>
        <v>0104</v>
      </c>
      <c r="B817" s="3" t="s">
        <v>15</v>
      </c>
      <c r="C817" s="3" t="str">
        <f>"张翩"</f>
        <v>张翩</v>
      </c>
      <c r="D817" s="3" t="str">
        <f t="shared" si="82"/>
        <v>女</v>
      </c>
      <c r="E817" s="3" t="str">
        <f>"2507012910"</f>
        <v>2507012910</v>
      </c>
      <c r="F817" s="3" t="str">
        <f t="shared" si="83"/>
        <v>29</v>
      </c>
      <c r="G817" s="4" t="str">
        <f>"10"</f>
        <v>10</v>
      </c>
      <c r="H817" s="5">
        <v>65</v>
      </c>
      <c r="I817" s="3"/>
    </row>
    <row r="818" customHeight="1" spans="1:9">
      <c r="A818" s="3" t="str">
        <f t="shared" si="84"/>
        <v>0104</v>
      </c>
      <c r="B818" s="3" t="s">
        <v>15</v>
      </c>
      <c r="C818" s="3" t="str">
        <f>"彭子颖"</f>
        <v>彭子颖</v>
      </c>
      <c r="D818" s="3" t="str">
        <f t="shared" si="82"/>
        <v>女</v>
      </c>
      <c r="E818" s="3" t="str">
        <f>"2507012911"</f>
        <v>2507012911</v>
      </c>
      <c r="F818" s="3" t="str">
        <f t="shared" si="83"/>
        <v>29</v>
      </c>
      <c r="G818" s="4" t="str">
        <f>"11"</f>
        <v>11</v>
      </c>
      <c r="H818" s="5">
        <v>55.4</v>
      </c>
      <c r="I818" s="3"/>
    </row>
    <row r="819" customHeight="1" spans="1:9">
      <c r="A819" s="3" t="str">
        <f t="shared" si="84"/>
        <v>0104</v>
      </c>
      <c r="B819" s="3" t="s">
        <v>15</v>
      </c>
      <c r="C819" s="3" t="str">
        <f>"杨雨萌"</f>
        <v>杨雨萌</v>
      </c>
      <c r="D819" s="3" t="str">
        <f t="shared" si="82"/>
        <v>女</v>
      </c>
      <c r="E819" s="3" t="str">
        <f>"2507012912"</f>
        <v>2507012912</v>
      </c>
      <c r="F819" s="3" t="str">
        <f t="shared" si="83"/>
        <v>29</v>
      </c>
      <c r="G819" s="4" t="str">
        <f>"12"</f>
        <v>12</v>
      </c>
      <c r="H819" s="5">
        <v>74.9</v>
      </c>
      <c r="I819" s="3"/>
    </row>
    <row r="820" customHeight="1" spans="1:9">
      <c r="A820" s="3" t="str">
        <f t="shared" si="84"/>
        <v>0104</v>
      </c>
      <c r="B820" s="3" t="s">
        <v>15</v>
      </c>
      <c r="C820" s="3" t="str">
        <f>"李晶"</f>
        <v>李晶</v>
      </c>
      <c r="D820" s="3" t="str">
        <f t="shared" si="82"/>
        <v>女</v>
      </c>
      <c r="E820" s="3" t="str">
        <f>"2507012913"</f>
        <v>2507012913</v>
      </c>
      <c r="F820" s="3" t="str">
        <f t="shared" si="83"/>
        <v>29</v>
      </c>
      <c r="G820" s="4" t="str">
        <f>"13"</f>
        <v>13</v>
      </c>
      <c r="H820" s="5">
        <v>0</v>
      </c>
      <c r="I820" s="3" t="s">
        <v>11</v>
      </c>
    </row>
    <row r="821" customHeight="1" spans="1:9">
      <c r="A821" s="3" t="str">
        <f t="shared" si="84"/>
        <v>0104</v>
      </c>
      <c r="B821" s="3" t="s">
        <v>15</v>
      </c>
      <c r="C821" s="3" t="str">
        <f>"吴金宴"</f>
        <v>吴金宴</v>
      </c>
      <c r="D821" s="3" t="str">
        <f t="shared" si="82"/>
        <v>女</v>
      </c>
      <c r="E821" s="3" t="str">
        <f>"2507012914"</f>
        <v>2507012914</v>
      </c>
      <c r="F821" s="3" t="str">
        <f t="shared" si="83"/>
        <v>29</v>
      </c>
      <c r="G821" s="4" t="str">
        <f>"14"</f>
        <v>14</v>
      </c>
      <c r="H821" s="5">
        <v>38.3</v>
      </c>
      <c r="I821" s="3"/>
    </row>
    <row r="822" customHeight="1" spans="1:9">
      <c r="A822" s="3" t="str">
        <f t="shared" si="84"/>
        <v>0104</v>
      </c>
      <c r="B822" s="3" t="s">
        <v>15</v>
      </c>
      <c r="C822" s="3" t="str">
        <f>"郭程程"</f>
        <v>郭程程</v>
      </c>
      <c r="D822" s="3" t="str">
        <f t="shared" si="82"/>
        <v>女</v>
      </c>
      <c r="E822" s="3" t="str">
        <f>"2507012915"</f>
        <v>2507012915</v>
      </c>
      <c r="F822" s="3" t="str">
        <f t="shared" si="83"/>
        <v>29</v>
      </c>
      <c r="G822" s="4" t="str">
        <f>"15"</f>
        <v>15</v>
      </c>
      <c r="H822" s="5">
        <v>50.4</v>
      </c>
      <c r="I822" s="3"/>
    </row>
    <row r="823" customHeight="1" spans="1:9">
      <c r="A823" s="3" t="str">
        <f t="shared" si="84"/>
        <v>0104</v>
      </c>
      <c r="B823" s="3" t="s">
        <v>15</v>
      </c>
      <c r="C823" s="3" t="str">
        <f>"陈昱洁"</f>
        <v>陈昱洁</v>
      </c>
      <c r="D823" s="3" t="str">
        <f t="shared" si="82"/>
        <v>女</v>
      </c>
      <c r="E823" s="3" t="str">
        <f>"2507012916"</f>
        <v>2507012916</v>
      </c>
      <c r="F823" s="3" t="str">
        <f t="shared" si="83"/>
        <v>29</v>
      </c>
      <c r="G823" s="4" t="str">
        <f>"16"</f>
        <v>16</v>
      </c>
      <c r="H823" s="5">
        <v>0</v>
      </c>
      <c r="I823" s="3" t="s">
        <v>11</v>
      </c>
    </row>
    <row r="824" customHeight="1" spans="1:9">
      <c r="A824" s="3" t="str">
        <f t="shared" si="84"/>
        <v>0104</v>
      </c>
      <c r="B824" s="3" t="s">
        <v>15</v>
      </c>
      <c r="C824" s="3" t="str">
        <f>"王芝兰"</f>
        <v>王芝兰</v>
      </c>
      <c r="D824" s="3" t="str">
        <f t="shared" si="82"/>
        <v>女</v>
      </c>
      <c r="E824" s="3" t="str">
        <f>"2507012917"</f>
        <v>2507012917</v>
      </c>
      <c r="F824" s="3" t="str">
        <f t="shared" si="83"/>
        <v>29</v>
      </c>
      <c r="G824" s="4" t="str">
        <f>"17"</f>
        <v>17</v>
      </c>
      <c r="H824" s="5">
        <v>0</v>
      </c>
      <c r="I824" s="3" t="s">
        <v>11</v>
      </c>
    </row>
    <row r="825" customHeight="1" spans="1:9">
      <c r="A825" s="3" t="str">
        <f t="shared" si="84"/>
        <v>0104</v>
      </c>
      <c r="B825" s="3" t="s">
        <v>15</v>
      </c>
      <c r="C825" s="3" t="str">
        <f>"张欣"</f>
        <v>张欣</v>
      </c>
      <c r="D825" s="3" t="str">
        <f t="shared" si="82"/>
        <v>女</v>
      </c>
      <c r="E825" s="3" t="str">
        <f>"2507012918"</f>
        <v>2507012918</v>
      </c>
      <c r="F825" s="3" t="str">
        <f t="shared" si="83"/>
        <v>29</v>
      </c>
      <c r="G825" s="4" t="str">
        <f>"18"</f>
        <v>18</v>
      </c>
      <c r="H825" s="5">
        <v>68.8</v>
      </c>
      <c r="I825" s="3"/>
    </row>
    <row r="826" customHeight="1" spans="1:9">
      <c r="A826" s="3" t="str">
        <f t="shared" si="84"/>
        <v>0104</v>
      </c>
      <c r="B826" s="3" t="s">
        <v>15</v>
      </c>
      <c r="C826" s="3" t="str">
        <f>"孙蒙蒙"</f>
        <v>孙蒙蒙</v>
      </c>
      <c r="D826" s="3" t="str">
        <f t="shared" si="82"/>
        <v>女</v>
      </c>
      <c r="E826" s="3" t="str">
        <f>"2507012919"</f>
        <v>2507012919</v>
      </c>
      <c r="F826" s="3" t="str">
        <f t="shared" si="83"/>
        <v>29</v>
      </c>
      <c r="G826" s="4" t="str">
        <f>"19"</f>
        <v>19</v>
      </c>
      <c r="H826" s="5">
        <v>68.3</v>
      </c>
      <c r="I826" s="3"/>
    </row>
    <row r="827" customHeight="1" spans="1:9">
      <c r="A827" s="3" t="str">
        <f t="shared" si="84"/>
        <v>0104</v>
      </c>
      <c r="B827" s="3" t="s">
        <v>15</v>
      </c>
      <c r="C827" s="3" t="str">
        <f>"杨博文"</f>
        <v>杨博文</v>
      </c>
      <c r="D827" s="3" t="str">
        <f t="shared" si="82"/>
        <v>女</v>
      </c>
      <c r="E827" s="3" t="str">
        <f>"2507012920"</f>
        <v>2507012920</v>
      </c>
      <c r="F827" s="3" t="str">
        <f t="shared" si="83"/>
        <v>29</v>
      </c>
      <c r="G827" s="4" t="str">
        <f>"20"</f>
        <v>20</v>
      </c>
      <c r="H827" s="5">
        <v>0</v>
      </c>
      <c r="I827" s="3" t="s">
        <v>11</v>
      </c>
    </row>
    <row r="828" customHeight="1" spans="1:9">
      <c r="A828" s="3" t="str">
        <f t="shared" si="84"/>
        <v>0104</v>
      </c>
      <c r="B828" s="3" t="s">
        <v>15</v>
      </c>
      <c r="C828" s="3" t="str">
        <f>"邢钰鑫"</f>
        <v>邢钰鑫</v>
      </c>
      <c r="D828" s="3" t="str">
        <f t="shared" si="82"/>
        <v>女</v>
      </c>
      <c r="E828" s="3" t="str">
        <f>"2507012921"</f>
        <v>2507012921</v>
      </c>
      <c r="F828" s="3" t="str">
        <f t="shared" si="83"/>
        <v>29</v>
      </c>
      <c r="G828" s="4" t="str">
        <f>"21"</f>
        <v>21</v>
      </c>
      <c r="H828" s="5">
        <v>70.9</v>
      </c>
      <c r="I828" s="3"/>
    </row>
    <row r="829" customHeight="1" spans="1:9">
      <c r="A829" s="3" t="str">
        <f t="shared" si="84"/>
        <v>0104</v>
      </c>
      <c r="B829" s="3" t="s">
        <v>15</v>
      </c>
      <c r="C829" s="3" t="str">
        <f>"龚鑫鑫"</f>
        <v>龚鑫鑫</v>
      </c>
      <c r="D829" s="3" t="str">
        <f t="shared" si="82"/>
        <v>女</v>
      </c>
      <c r="E829" s="3" t="str">
        <f>"2507012922"</f>
        <v>2507012922</v>
      </c>
      <c r="F829" s="3" t="str">
        <f t="shared" si="83"/>
        <v>29</v>
      </c>
      <c r="G829" s="4" t="str">
        <f>"22"</f>
        <v>22</v>
      </c>
      <c r="H829" s="5">
        <v>67.2</v>
      </c>
      <c r="I829" s="3"/>
    </row>
    <row r="830" customHeight="1" spans="1:9">
      <c r="A830" s="3" t="str">
        <f t="shared" si="84"/>
        <v>0104</v>
      </c>
      <c r="B830" s="3" t="s">
        <v>15</v>
      </c>
      <c r="C830" s="3" t="str">
        <f>"凌珑方"</f>
        <v>凌珑方</v>
      </c>
      <c r="D830" s="3" t="str">
        <f t="shared" si="82"/>
        <v>女</v>
      </c>
      <c r="E830" s="3" t="str">
        <f>"2507012923"</f>
        <v>2507012923</v>
      </c>
      <c r="F830" s="3" t="str">
        <f t="shared" si="83"/>
        <v>29</v>
      </c>
      <c r="G830" s="4" t="str">
        <f>"23"</f>
        <v>23</v>
      </c>
      <c r="H830" s="5">
        <v>78.9</v>
      </c>
      <c r="I830" s="3"/>
    </row>
    <row r="831" customHeight="1" spans="1:9">
      <c r="A831" s="3" t="str">
        <f t="shared" si="84"/>
        <v>0104</v>
      </c>
      <c r="B831" s="3" t="s">
        <v>15</v>
      </c>
      <c r="C831" s="3" t="str">
        <f>"祝文爽"</f>
        <v>祝文爽</v>
      </c>
      <c r="D831" s="3" t="str">
        <f t="shared" si="82"/>
        <v>女</v>
      </c>
      <c r="E831" s="3" t="str">
        <f>"2507012924"</f>
        <v>2507012924</v>
      </c>
      <c r="F831" s="3" t="str">
        <f t="shared" si="83"/>
        <v>29</v>
      </c>
      <c r="G831" s="4" t="str">
        <f>"24"</f>
        <v>24</v>
      </c>
      <c r="H831" s="5">
        <v>0</v>
      </c>
      <c r="I831" s="3" t="s">
        <v>11</v>
      </c>
    </row>
    <row r="832" customHeight="1" spans="1:9">
      <c r="A832" s="3" t="str">
        <f t="shared" si="84"/>
        <v>0104</v>
      </c>
      <c r="B832" s="3" t="s">
        <v>15</v>
      </c>
      <c r="C832" s="3" t="str">
        <f>"张婧倩"</f>
        <v>张婧倩</v>
      </c>
      <c r="D832" s="3" t="str">
        <f t="shared" si="82"/>
        <v>女</v>
      </c>
      <c r="E832" s="3" t="str">
        <f>"2507012925"</f>
        <v>2507012925</v>
      </c>
      <c r="F832" s="3" t="str">
        <f t="shared" si="83"/>
        <v>29</v>
      </c>
      <c r="G832" s="4" t="str">
        <f>"25"</f>
        <v>25</v>
      </c>
      <c r="H832" s="5">
        <v>67.3</v>
      </c>
      <c r="I832" s="3"/>
    </row>
    <row r="833" customHeight="1" spans="1:9">
      <c r="A833" s="3" t="str">
        <f t="shared" si="84"/>
        <v>0104</v>
      </c>
      <c r="B833" s="3" t="s">
        <v>15</v>
      </c>
      <c r="C833" s="3" t="str">
        <f>"王忍"</f>
        <v>王忍</v>
      </c>
      <c r="D833" s="3" t="str">
        <f t="shared" si="82"/>
        <v>女</v>
      </c>
      <c r="E833" s="3" t="str">
        <f>"2507012926"</f>
        <v>2507012926</v>
      </c>
      <c r="F833" s="3" t="str">
        <f t="shared" si="83"/>
        <v>29</v>
      </c>
      <c r="G833" s="4" t="str">
        <f>"26"</f>
        <v>26</v>
      </c>
      <c r="H833" s="5">
        <v>46.8</v>
      </c>
      <c r="I833" s="3"/>
    </row>
    <row r="834" customHeight="1" spans="1:9">
      <c r="A834" s="3" t="str">
        <f t="shared" si="84"/>
        <v>0104</v>
      </c>
      <c r="B834" s="3" t="s">
        <v>15</v>
      </c>
      <c r="C834" s="3" t="str">
        <f>"舒欣"</f>
        <v>舒欣</v>
      </c>
      <c r="D834" s="3" t="str">
        <f t="shared" si="82"/>
        <v>女</v>
      </c>
      <c r="E834" s="3" t="str">
        <f>"2507012927"</f>
        <v>2507012927</v>
      </c>
      <c r="F834" s="3" t="str">
        <f t="shared" si="83"/>
        <v>29</v>
      </c>
      <c r="G834" s="4" t="str">
        <f>"27"</f>
        <v>27</v>
      </c>
      <c r="H834" s="5">
        <v>70.1</v>
      </c>
      <c r="I834" s="3"/>
    </row>
    <row r="835" customHeight="1" spans="1:9">
      <c r="A835" s="3" t="str">
        <f t="shared" si="84"/>
        <v>0104</v>
      </c>
      <c r="B835" s="3" t="s">
        <v>15</v>
      </c>
      <c r="C835" s="3" t="str">
        <f>"汤亚茹"</f>
        <v>汤亚茹</v>
      </c>
      <c r="D835" s="3" t="str">
        <f t="shared" si="82"/>
        <v>女</v>
      </c>
      <c r="E835" s="3" t="str">
        <f>"2507012928"</f>
        <v>2507012928</v>
      </c>
      <c r="F835" s="3" t="str">
        <f t="shared" si="83"/>
        <v>29</v>
      </c>
      <c r="G835" s="4" t="str">
        <f>"28"</f>
        <v>28</v>
      </c>
      <c r="H835" s="5">
        <v>64.8</v>
      </c>
      <c r="I835" s="3"/>
    </row>
    <row r="836" customHeight="1" spans="1:9">
      <c r="A836" s="3" t="str">
        <f t="shared" si="84"/>
        <v>0104</v>
      </c>
      <c r="B836" s="3" t="s">
        <v>15</v>
      </c>
      <c r="C836" s="3" t="str">
        <f>"韦梦琳"</f>
        <v>韦梦琳</v>
      </c>
      <c r="D836" s="3" t="str">
        <f t="shared" si="82"/>
        <v>女</v>
      </c>
      <c r="E836" s="3" t="str">
        <f>"2507012929"</f>
        <v>2507012929</v>
      </c>
      <c r="F836" s="3" t="str">
        <f t="shared" si="83"/>
        <v>29</v>
      </c>
      <c r="G836" s="4" t="str">
        <f>"29"</f>
        <v>29</v>
      </c>
      <c r="H836" s="5">
        <v>72.6</v>
      </c>
      <c r="I836" s="3"/>
    </row>
    <row r="837" customHeight="1" spans="1:9">
      <c r="A837" s="3" t="str">
        <f t="shared" si="84"/>
        <v>0104</v>
      </c>
      <c r="B837" s="3" t="s">
        <v>15</v>
      </c>
      <c r="C837" s="3" t="str">
        <f>"刘翔"</f>
        <v>刘翔</v>
      </c>
      <c r="D837" s="3" t="str">
        <f>"男"</f>
        <v>男</v>
      </c>
      <c r="E837" s="3" t="str">
        <f>"2507012930"</f>
        <v>2507012930</v>
      </c>
      <c r="F837" s="3" t="str">
        <f t="shared" si="83"/>
        <v>29</v>
      </c>
      <c r="G837" s="4" t="str">
        <f>"30"</f>
        <v>30</v>
      </c>
      <c r="H837" s="5">
        <v>0</v>
      </c>
      <c r="I837" s="3" t="s">
        <v>11</v>
      </c>
    </row>
    <row r="838" customHeight="1" spans="1:9">
      <c r="A838" s="3" t="str">
        <f t="shared" si="84"/>
        <v>0104</v>
      </c>
      <c r="B838" s="3" t="s">
        <v>15</v>
      </c>
      <c r="C838" s="3" t="str">
        <f>"孙含笑"</f>
        <v>孙含笑</v>
      </c>
      <c r="D838" s="3" t="str">
        <f t="shared" ref="D838:D882" si="85">"女"</f>
        <v>女</v>
      </c>
      <c r="E838" s="3" t="str">
        <f>"2507013001"</f>
        <v>2507013001</v>
      </c>
      <c r="F838" s="3" t="str">
        <f t="shared" ref="F838:F867" si="86">"30"</f>
        <v>30</v>
      </c>
      <c r="G838" s="4" t="str">
        <f>"01"</f>
        <v>01</v>
      </c>
      <c r="H838" s="5">
        <v>54.3</v>
      </c>
      <c r="I838" s="3"/>
    </row>
    <row r="839" customHeight="1" spans="1:9">
      <c r="A839" s="3" t="str">
        <f t="shared" si="84"/>
        <v>0104</v>
      </c>
      <c r="B839" s="3" t="s">
        <v>15</v>
      </c>
      <c r="C839" s="3" t="str">
        <f>"高庆娟"</f>
        <v>高庆娟</v>
      </c>
      <c r="D839" s="3" t="str">
        <f t="shared" si="85"/>
        <v>女</v>
      </c>
      <c r="E839" s="3" t="str">
        <f>"2507013002"</f>
        <v>2507013002</v>
      </c>
      <c r="F839" s="3" t="str">
        <f t="shared" si="86"/>
        <v>30</v>
      </c>
      <c r="G839" s="4" t="str">
        <f>"02"</f>
        <v>02</v>
      </c>
      <c r="H839" s="5">
        <v>0</v>
      </c>
      <c r="I839" s="3" t="s">
        <v>11</v>
      </c>
    </row>
    <row r="840" customHeight="1" spans="1:9">
      <c r="A840" s="3" t="str">
        <f t="shared" si="84"/>
        <v>0104</v>
      </c>
      <c r="B840" s="3" t="s">
        <v>15</v>
      </c>
      <c r="C840" s="3" t="str">
        <f>"刘思佳"</f>
        <v>刘思佳</v>
      </c>
      <c r="D840" s="3" t="str">
        <f t="shared" si="85"/>
        <v>女</v>
      </c>
      <c r="E840" s="3" t="str">
        <f>"2507013003"</f>
        <v>2507013003</v>
      </c>
      <c r="F840" s="3" t="str">
        <f t="shared" si="86"/>
        <v>30</v>
      </c>
      <c r="G840" s="4" t="str">
        <f>"03"</f>
        <v>03</v>
      </c>
      <c r="H840" s="5">
        <v>61.4</v>
      </c>
      <c r="I840" s="3"/>
    </row>
    <row r="841" customHeight="1" spans="1:9">
      <c r="A841" s="3" t="str">
        <f t="shared" si="84"/>
        <v>0104</v>
      </c>
      <c r="B841" s="3" t="s">
        <v>15</v>
      </c>
      <c r="C841" s="3" t="str">
        <f>"陈丽娟"</f>
        <v>陈丽娟</v>
      </c>
      <c r="D841" s="3" t="str">
        <f t="shared" si="85"/>
        <v>女</v>
      </c>
      <c r="E841" s="3" t="str">
        <f>"2507013004"</f>
        <v>2507013004</v>
      </c>
      <c r="F841" s="3" t="str">
        <f t="shared" si="86"/>
        <v>30</v>
      </c>
      <c r="G841" s="4" t="str">
        <f>"04"</f>
        <v>04</v>
      </c>
      <c r="H841" s="5">
        <v>46.6</v>
      </c>
      <c r="I841" s="3"/>
    </row>
    <row r="842" customHeight="1" spans="1:9">
      <c r="A842" s="3" t="str">
        <f t="shared" si="84"/>
        <v>0104</v>
      </c>
      <c r="B842" s="3" t="s">
        <v>15</v>
      </c>
      <c r="C842" s="3" t="str">
        <f>"张桐"</f>
        <v>张桐</v>
      </c>
      <c r="D842" s="3" t="str">
        <f t="shared" si="85"/>
        <v>女</v>
      </c>
      <c r="E842" s="3" t="str">
        <f>"2507013005"</f>
        <v>2507013005</v>
      </c>
      <c r="F842" s="3" t="str">
        <f t="shared" si="86"/>
        <v>30</v>
      </c>
      <c r="G842" s="4" t="str">
        <f>"05"</f>
        <v>05</v>
      </c>
      <c r="H842" s="5">
        <v>48.9</v>
      </c>
      <c r="I842" s="3"/>
    </row>
    <row r="843" customHeight="1" spans="1:9">
      <c r="A843" s="3" t="str">
        <f t="shared" si="84"/>
        <v>0104</v>
      </c>
      <c r="B843" s="3" t="s">
        <v>15</v>
      </c>
      <c r="C843" s="3" t="str">
        <f>"杨文杰"</f>
        <v>杨文杰</v>
      </c>
      <c r="D843" s="3" t="str">
        <f t="shared" si="85"/>
        <v>女</v>
      </c>
      <c r="E843" s="3" t="str">
        <f>"2507013006"</f>
        <v>2507013006</v>
      </c>
      <c r="F843" s="3" t="str">
        <f t="shared" si="86"/>
        <v>30</v>
      </c>
      <c r="G843" s="4" t="str">
        <f>"06"</f>
        <v>06</v>
      </c>
      <c r="H843" s="5">
        <v>0</v>
      </c>
      <c r="I843" s="3" t="s">
        <v>11</v>
      </c>
    </row>
    <row r="844" customHeight="1" spans="1:9">
      <c r="A844" s="3" t="str">
        <f t="shared" si="84"/>
        <v>0104</v>
      </c>
      <c r="B844" s="3" t="s">
        <v>15</v>
      </c>
      <c r="C844" s="3" t="str">
        <f>"刘琳"</f>
        <v>刘琳</v>
      </c>
      <c r="D844" s="3" t="str">
        <f t="shared" si="85"/>
        <v>女</v>
      </c>
      <c r="E844" s="3" t="str">
        <f>"2507013007"</f>
        <v>2507013007</v>
      </c>
      <c r="F844" s="3" t="str">
        <f t="shared" si="86"/>
        <v>30</v>
      </c>
      <c r="G844" s="4" t="str">
        <f>"07"</f>
        <v>07</v>
      </c>
      <c r="H844" s="5">
        <v>0</v>
      </c>
      <c r="I844" s="3" t="s">
        <v>11</v>
      </c>
    </row>
    <row r="845" customHeight="1" spans="1:9">
      <c r="A845" s="3" t="str">
        <f t="shared" si="84"/>
        <v>0104</v>
      </c>
      <c r="B845" s="3" t="s">
        <v>15</v>
      </c>
      <c r="C845" s="3" t="str">
        <f>"伦悦"</f>
        <v>伦悦</v>
      </c>
      <c r="D845" s="3" t="str">
        <f t="shared" si="85"/>
        <v>女</v>
      </c>
      <c r="E845" s="3" t="str">
        <f>"2507013008"</f>
        <v>2507013008</v>
      </c>
      <c r="F845" s="3" t="str">
        <f t="shared" si="86"/>
        <v>30</v>
      </c>
      <c r="G845" s="4" t="str">
        <f>"08"</f>
        <v>08</v>
      </c>
      <c r="H845" s="5">
        <v>79.4</v>
      </c>
      <c r="I845" s="3"/>
    </row>
    <row r="846" customHeight="1" spans="1:9">
      <c r="A846" s="3" t="str">
        <f t="shared" si="84"/>
        <v>0104</v>
      </c>
      <c r="B846" s="3" t="s">
        <v>15</v>
      </c>
      <c r="C846" s="3" t="str">
        <f>"孔梦雨"</f>
        <v>孔梦雨</v>
      </c>
      <c r="D846" s="3" t="str">
        <f t="shared" si="85"/>
        <v>女</v>
      </c>
      <c r="E846" s="3" t="str">
        <f>"2507013009"</f>
        <v>2507013009</v>
      </c>
      <c r="F846" s="3" t="str">
        <f t="shared" si="86"/>
        <v>30</v>
      </c>
      <c r="G846" s="4" t="str">
        <f>"09"</f>
        <v>09</v>
      </c>
      <c r="H846" s="5">
        <v>75.8</v>
      </c>
      <c r="I846" s="3"/>
    </row>
    <row r="847" customHeight="1" spans="1:9">
      <c r="A847" s="3" t="str">
        <f t="shared" si="84"/>
        <v>0104</v>
      </c>
      <c r="B847" s="3" t="s">
        <v>15</v>
      </c>
      <c r="C847" s="3" t="str">
        <f>"李易轩"</f>
        <v>李易轩</v>
      </c>
      <c r="D847" s="3" t="str">
        <f t="shared" si="85"/>
        <v>女</v>
      </c>
      <c r="E847" s="3" t="str">
        <f>"2507013010"</f>
        <v>2507013010</v>
      </c>
      <c r="F847" s="3" t="str">
        <f t="shared" si="86"/>
        <v>30</v>
      </c>
      <c r="G847" s="4" t="str">
        <f>"10"</f>
        <v>10</v>
      </c>
      <c r="H847" s="5">
        <v>71</v>
      </c>
      <c r="I847" s="3"/>
    </row>
    <row r="848" customHeight="1" spans="1:9">
      <c r="A848" s="3" t="str">
        <f t="shared" si="84"/>
        <v>0104</v>
      </c>
      <c r="B848" s="3" t="s">
        <v>15</v>
      </c>
      <c r="C848" s="3" t="str">
        <f>"张雪"</f>
        <v>张雪</v>
      </c>
      <c r="D848" s="3" t="str">
        <f t="shared" si="85"/>
        <v>女</v>
      </c>
      <c r="E848" s="3" t="str">
        <f>"2507013011"</f>
        <v>2507013011</v>
      </c>
      <c r="F848" s="3" t="str">
        <f t="shared" si="86"/>
        <v>30</v>
      </c>
      <c r="G848" s="4" t="str">
        <f>"11"</f>
        <v>11</v>
      </c>
      <c r="H848" s="5">
        <v>0</v>
      </c>
      <c r="I848" s="3" t="s">
        <v>11</v>
      </c>
    </row>
    <row r="849" customHeight="1" spans="1:9">
      <c r="A849" s="3" t="str">
        <f t="shared" si="84"/>
        <v>0104</v>
      </c>
      <c r="B849" s="3" t="s">
        <v>15</v>
      </c>
      <c r="C849" s="3" t="str">
        <f>"张西"</f>
        <v>张西</v>
      </c>
      <c r="D849" s="3" t="str">
        <f t="shared" si="85"/>
        <v>女</v>
      </c>
      <c r="E849" s="3" t="str">
        <f>"2507013012"</f>
        <v>2507013012</v>
      </c>
      <c r="F849" s="3" t="str">
        <f t="shared" si="86"/>
        <v>30</v>
      </c>
      <c r="G849" s="4" t="str">
        <f>"12"</f>
        <v>12</v>
      </c>
      <c r="H849" s="5">
        <v>0</v>
      </c>
      <c r="I849" s="3" t="s">
        <v>11</v>
      </c>
    </row>
    <row r="850" customHeight="1" spans="1:9">
      <c r="A850" s="3" t="str">
        <f t="shared" si="84"/>
        <v>0104</v>
      </c>
      <c r="B850" s="3" t="s">
        <v>15</v>
      </c>
      <c r="C850" s="3" t="str">
        <f>"钟丹丹"</f>
        <v>钟丹丹</v>
      </c>
      <c r="D850" s="3" t="str">
        <f t="shared" si="85"/>
        <v>女</v>
      </c>
      <c r="E850" s="3" t="str">
        <f>"2507013013"</f>
        <v>2507013013</v>
      </c>
      <c r="F850" s="3" t="str">
        <f t="shared" si="86"/>
        <v>30</v>
      </c>
      <c r="G850" s="4" t="str">
        <f>"13"</f>
        <v>13</v>
      </c>
      <c r="H850" s="5">
        <v>0</v>
      </c>
      <c r="I850" s="3" t="s">
        <v>11</v>
      </c>
    </row>
    <row r="851" customHeight="1" spans="1:9">
      <c r="A851" s="3" t="str">
        <f t="shared" si="84"/>
        <v>0104</v>
      </c>
      <c r="B851" s="3" t="s">
        <v>15</v>
      </c>
      <c r="C851" s="3" t="str">
        <f>"孙柯欣"</f>
        <v>孙柯欣</v>
      </c>
      <c r="D851" s="3" t="str">
        <f t="shared" si="85"/>
        <v>女</v>
      </c>
      <c r="E851" s="3" t="str">
        <f>"2507013014"</f>
        <v>2507013014</v>
      </c>
      <c r="F851" s="3" t="str">
        <f t="shared" si="86"/>
        <v>30</v>
      </c>
      <c r="G851" s="4" t="str">
        <f>"14"</f>
        <v>14</v>
      </c>
      <c r="H851" s="5">
        <v>0</v>
      </c>
      <c r="I851" s="3" t="s">
        <v>11</v>
      </c>
    </row>
    <row r="852" customHeight="1" spans="1:9">
      <c r="A852" s="3" t="str">
        <f t="shared" si="84"/>
        <v>0104</v>
      </c>
      <c r="B852" s="3" t="s">
        <v>15</v>
      </c>
      <c r="C852" s="3" t="str">
        <f>"黄涵"</f>
        <v>黄涵</v>
      </c>
      <c r="D852" s="3" t="str">
        <f t="shared" si="85"/>
        <v>女</v>
      </c>
      <c r="E852" s="3" t="str">
        <f>"2507013015"</f>
        <v>2507013015</v>
      </c>
      <c r="F852" s="3" t="str">
        <f t="shared" si="86"/>
        <v>30</v>
      </c>
      <c r="G852" s="4" t="str">
        <f>"15"</f>
        <v>15</v>
      </c>
      <c r="H852" s="5">
        <v>0</v>
      </c>
      <c r="I852" s="3" t="s">
        <v>11</v>
      </c>
    </row>
    <row r="853" customHeight="1" spans="1:9">
      <c r="A853" s="3" t="str">
        <f t="shared" si="84"/>
        <v>0104</v>
      </c>
      <c r="B853" s="3" t="s">
        <v>15</v>
      </c>
      <c r="C853" s="3" t="str">
        <f>"梁雨晴"</f>
        <v>梁雨晴</v>
      </c>
      <c r="D853" s="3" t="str">
        <f t="shared" si="85"/>
        <v>女</v>
      </c>
      <c r="E853" s="3" t="str">
        <f>"2507013016"</f>
        <v>2507013016</v>
      </c>
      <c r="F853" s="3" t="str">
        <f t="shared" si="86"/>
        <v>30</v>
      </c>
      <c r="G853" s="4" t="str">
        <f>"16"</f>
        <v>16</v>
      </c>
      <c r="H853" s="5">
        <v>78</v>
      </c>
      <c r="I853" s="3"/>
    </row>
    <row r="854" customHeight="1" spans="1:9">
      <c r="A854" s="3" t="str">
        <f t="shared" si="84"/>
        <v>0104</v>
      </c>
      <c r="B854" s="3" t="s">
        <v>15</v>
      </c>
      <c r="C854" s="3" t="str">
        <f>"蔡明轲"</f>
        <v>蔡明轲</v>
      </c>
      <c r="D854" s="3" t="str">
        <f t="shared" si="85"/>
        <v>女</v>
      </c>
      <c r="E854" s="3" t="str">
        <f>"2507013017"</f>
        <v>2507013017</v>
      </c>
      <c r="F854" s="3" t="str">
        <f t="shared" si="86"/>
        <v>30</v>
      </c>
      <c r="G854" s="4" t="str">
        <f>"17"</f>
        <v>17</v>
      </c>
      <c r="H854" s="5">
        <v>70.4</v>
      </c>
      <c r="I854" s="3"/>
    </row>
    <row r="855" customHeight="1" spans="1:9">
      <c r="A855" s="3" t="str">
        <f t="shared" si="84"/>
        <v>0104</v>
      </c>
      <c r="B855" s="3" t="s">
        <v>15</v>
      </c>
      <c r="C855" s="3" t="str">
        <f>"寇兆羽"</f>
        <v>寇兆羽</v>
      </c>
      <c r="D855" s="3" t="str">
        <f t="shared" si="85"/>
        <v>女</v>
      </c>
      <c r="E855" s="3" t="str">
        <f>"2507013018"</f>
        <v>2507013018</v>
      </c>
      <c r="F855" s="3" t="str">
        <f t="shared" si="86"/>
        <v>30</v>
      </c>
      <c r="G855" s="4" t="str">
        <f>"18"</f>
        <v>18</v>
      </c>
      <c r="H855" s="5">
        <v>58</v>
      </c>
      <c r="I855" s="3"/>
    </row>
    <row r="856" customHeight="1" spans="1:9">
      <c r="A856" s="3" t="str">
        <f t="shared" si="84"/>
        <v>0104</v>
      </c>
      <c r="B856" s="3" t="s">
        <v>15</v>
      </c>
      <c r="C856" s="3" t="str">
        <f>"席国霞"</f>
        <v>席国霞</v>
      </c>
      <c r="D856" s="3" t="str">
        <f t="shared" si="85"/>
        <v>女</v>
      </c>
      <c r="E856" s="3" t="str">
        <f>"2507013019"</f>
        <v>2507013019</v>
      </c>
      <c r="F856" s="3" t="str">
        <f t="shared" si="86"/>
        <v>30</v>
      </c>
      <c r="G856" s="4" t="str">
        <f>"19"</f>
        <v>19</v>
      </c>
      <c r="H856" s="5">
        <v>0</v>
      </c>
      <c r="I856" s="3" t="s">
        <v>11</v>
      </c>
    </row>
    <row r="857" customHeight="1" spans="1:9">
      <c r="A857" s="3" t="str">
        <f t="shared" si="84"/>
        <v>0104</v>
      </c>
      <c r="B857" s="3" t="s">
        <v>15</v>
      </c>
      <c r="C857" s="3" t="str">
        <f>"娄新爽"</f>
        <v>娄新爽</v>
      </c>
      <c r="D857" s="3" t="str">
        <f t="shared" si="85"/>
        <v>女</v>
      </c>
      <c r="E857" s="3" t="str">
        <f>"2507013020"</f>
        <v>2507013020</v>
      </c>
      <c r="F857" s="3" t="str">
        <f t="shared" si="86"/>
        <v>30</v>
      </c>
      <c r="G857" s="4" t="str">
        <f>"20"</f>
        <v>20</v>
      </c>
      <c r="H857" s="5">
        <v>58</v>
      </c>
      <c r="I857" s="3"/>
    </row>
    <row r="858" customHeight="1" spans="1:9">
      <c r="A858" s="3" t="str">
        <f t="shared" si="84"/>
        <v>0104</v>
      </c>
      <c r="B858" s="3" t="s">
        <v>15</v>
      </c>
      <c r="C858" s="3" t="str">
        <f>"顾敏楠"</f>
        <v>顾敏楠</v>
      </c>
      <c r="D858" s="3" t="str">
        <f t="shared" si="85"/>
        <v>女</v>
      </c>
      <c r="E858" s="3" t="str">
        <f>"2507013021"</f>
        <v>2507013021</v>
      </c>
      <c r="F858" s="3" t="str">
        <f t="shared" si="86"/>
        <v>30</v>
      </c>
      <c r="G858" s="4" t="str">
        <f>"21"</f>
        <v>21</v>
      </c>
      <c r="H858" s="5">
        <v>63.1</v>
      </c>
      <c r="I858" s="3"/>
    </row>
    <row r="859" customHeight="1" spans="1:9">
      <c r="A859" s="3" t="str">
        <f t="shared" si="84"/>
        <v>0104</v>
      </c>
      <c r="B859" s="3" t="s">
        <v>15</v>
      </c>
      <c r="C859" s="3" t="str">
        <f>"邢梦迪"</f>
        <v>邢梦迪</v>
      </c>
      <c r="D859" s="3" t="str">
        <f t="shared" si="85"/>
        <v>女</v>
      </c>
      <c r="E859" s="3" t="str">
        <f>"2507013022"</f>
        <v>2507013022</v>
      </c>
      <c r="F859" s="3" t="str">
        <f t="shared" si="86"/>
        <v>30</v>
      </c>
      <c r="G859" s="4" t="str">
        <f>"22"</f>
        <v>22</v>
      </c>
      <c r="H859" s="5">
        <v>0</v>
      </c>
      <c r="I859" s="3" t="s">
        <v>11</v>
      </c>
    </row>
    <row r="860" customHeight="1" spans="1:9">
      <c r="A860" s="3" t="str">
        <f t="shared" si="84"/>
        <v>0104</v>
      </c>
      <c r="B860" s="3" t="s">
        <v>15</v>
      </c>
      <c r="C860" s="3" t="str">
        <f>"郭莉"</f>
        <v>郭莉</v>
      </c>
      <c r="D860" s="3" t="str">
        <f t="shared" si="85"/>
        <v>女</v>
      </c>
      <c r="E860" s="3" t="str">
        <f>"2507013023"</f>
        <v>2507013023</v>
      </c>
      <c r="F860" s="3" t="str">
        <f t="shared" si="86"/>
        <v>30</v>
      </c>
      <c r="G860" s="4" t="str">
        <f>"23"</f>
        <v>23</v>
      </c>
      <c r="H860" s="5">
        <v>75</v>
      </c>
      <c r="I860" s="3"/>
    </row>
    <row r="861" customHeight="1" spans="1:9">
      <c r="A861" s="3" t="str">
        <f t="shared" si="84"/>
        <v>0104</v>
      </c>
      <c r="B861" s="3" t="s">
        <v>15</v>
      </c>
      <c r="C861" s="3" t="str">
        <f>"宋健梅"</f>
        <v>宋健梅</v>
      </c>
      <c r="D861" s="3" t="str">
        <f t="shared" si="85"/>
        <v>女</v>
      </c>
      <c r="E861" s="3" t="str">
        <f>"2507013024"</f>
        <v>2507013024</v>
      </c>
      <c r="F861" s="3" t="str">
        <f t="shared" si="86"/>
        <v>30</v>
      </c>
      <c r="G861" s="4" t="str">
        <f>"24"</f>
        <v>24</v>
      </c>
      <c r="H861" s="5">
        <v>0</v>
      </c>
      <c r="I861" s="3" t="s">
        <v>11</v>
      </c>
    </row>
    <row r="862" customHeight="1" spans="1:9">
      <c r="A862" s="3" t="str">
        <f t="shared" si="84"/>
        <v>0104</v>
      </c>
      <c r="B862" s="3" t="s">
        <v>15</v>
      </c>
      <c r="C862" s="3" t="str">
        <f>"冯茜"</f>
        <v>冯茜</v>
      </c>
      <c r="D862" s="3" t="str">
        <f t="shared" si="85"/>
        <v>女</v>
      </c>
      <c r="E862" s="3" t="str">
        <f>"2507013025"</f>
        <v>2507013025</v>
      </c>
      <c r="F862" s="3" t="str">
        <f t="shared" si="86"/>
        <v>30</v>
      </c>
      <c r="G862" s="4" t="str">
        <f>"25"</f>
        <v>25</v>
      </c>
      <c r="H862" s="5">
        <v>42</v>
      </c>
      <c r="I862" s="3"/>
    </row>
    <row r="863" customHeight="1" spans="1:9">
      <c r="A863" s="3" t="str">
        <f t="shared" si="84"/>
        <v>0104</v>
      </c>
      <c r="B863" s="3" t="s">
        <v>15</v>
      </c>
      <c r="C863" s="3" t="str">
        <f>"史佳鹭"</f>
        <v>史佳鹭</v>
      </c>
      <c r="D863" s="3" t="str">
        <f t="shared" si="85"/>
        <v>女</v>
      </c>
      <c r="E863" s="3" t="str">
        <f>"2507013026"</f>
        <v>2507013026</v>
      </c>
      <c r="F863" s="3" t="str">
        <f t="shared" si="86"/>
        <v>30</v>
      </c>
      <c r="G863" s="4" t="str">
        <f>"26"</f>
        <v>26</v>
      </c>
      <c r="H863" s="5">
        <v>62.5</v>
      </c>
      <c r="I863" s="3"/>
    </row>
    <row r="864" customHeight="1" spans="1:9">
      <c r="A864" s="3" t="str">
        <f t="shared" si="84"/>
        <v>0104</v>
      </c>
      <c r="B864" s="3" t="s">
        <v>15</v>
      </c>
      <c r="C864" s="3" t="str">
        <f>"王洪尚"</f>
        <v>王洪尚</v>
      </c>
      <c r="D864" s="3" t="str">
        <f t="shared" si="85"/>
        <v>女</v>
      </c>
      <c r="E864" s="3" t="str">
        <f>"2507013027"</f>
        <v>2507013027</v>
      </c>
      <c r="F864" s="3" t="str">
        <f t="shared" si="86"/>
        <v>30</v>
      </c>
      <c r="G864" s="4" t="str">
        <f>"27"</f>
        <v>27</v>
      </c>
      <c r="H864" s="5">
        <v>61.6</v>
      </c>
      <c r="I864" s="3"/>
    </row>
    <row r="865" customHeight="1" spans="1:9">
      <c r="A865" s="3" t="str">
        <f t="shared" si="84"/>
        <v>0104</v>
      </c>
      <c r="B865" s="3" t="s">
        <v>15</v>
      </c>
      <c r="C865" s="3" t="str">
        <f>"王阳阳"</f>
        <v>王阳阳</v>
      </c>
      <c r="D865" s="3" t="str">
        <f t="shared" si="85"/>
        <v>女</v>
      </c>
      <c r="E865" s="3" t="str">
        <f>"2507013028"</f>
        <v>2507013028</v>
      </c>
      <c r="F865" s="3" t="str">
        <f t="shared" si="86"/>
        <v>30</v>
      </c>
      <c r="G865" s="4" t="str">
        <f>"28"</f>
        <v>28</v>
      </c>
      <c r="H865" s="5">
        <v>69</v>
      </c>
      <c r="I865" s="3"/>
    </row>
    <row r="866" customHeight="1" spans="1:9">
      <c r="A866" s="3" t="str">
        <f t="shared" si="84"/>
        <v>0104</v>
      </c>
      <c r="B866" s="3" t="s">
        <v>15</v>
      </c>
      <c r="C866" s="3" t="str">
        <f>"时梦贤"</f>
        <v>时梦贤</v>
      </c>
      <c r="D866" s="3" t="str">
        <f t="shared" si="85"/>
        <v>女</v>
      </c>
      <c r="E866" s="3" t="str">
        <f>"2507013029"</f>
        <v>2507013029</v>
      </c>
      <c r="F866" s="3" t="str">
        <f t="shared" si="86"/>
        <v>30</v>
      </c>
      <c r="G866" s="4" t="str">
        <f>"29"</f>
        <v>29</v>
      </c>
      <c r="H866" s="5">
        <v>73.7</v>
      </c>
      <c r="I866" s="3"/>
    </row>
    <row r="867" customHeight="1" spans="1:9">
      <c r="A867" s="3" t="str">
        <f t="shared" si="84"/>
        <v>0104</v>
      </c>
      <c r="B867" s="3" t="s">
        <v>15</v>
      </c>
      <c r="C867" s="3" t="str">
        <f>"张语涵"</f>
        <v>张语涵</v>
      </c>
      <c r="D867" s="3" t="str">
        <f t="shared" si="85"/>
        <v>女</v>
      </c>
      <c r="E867" s="3" t="str">
        <f>"2507013030"</f>
        <v>2507013030</v>
      </c>
      <c r="F867" s="3" t="str">
        <f t="shared" si="86"/>
        <v>30</v>
      </c>
      <c r="G867" s="4" t="str">
        <f>"30"</f>
        <v>30</v>
      </c>
      <c r="H867" s="5">
        <v>74.6</v>
      </c>
      <c r="I867" s="3"/>
    </row>
    <row r="868" customHeight="1" spans="1:9">
      <c r="A868" s="3" t="str">
        <f t="shared" si="84"/>
        <v>0104</v>
      </c>
      <c r="B868" s="3" t="s">
        <v>15</v>
      </c>
      <c r="C868" s="3" t="str">
        <f>"王艺雅"</f>
        <v>王艺雅</v>
      </c>
      <c r="D868" s="3" t="str">
        <f t="shared" si="85"/>
        <v>女</v>
      </c>
      <c r="E868" s="3" t="str">
        <f>"2507013101"</f>
        <v>2507013101</v>
      </c>
      <c r="F868" s="3" t="str">
        <f t="shared" ref="F868:F882" si="87">"31"</f>
        <v>31</v>
      </c>
      <c r="G868" s="4" t="str">
        <f>"01"</f>
        <v>01</v>
      </c>
      <c r="H868" s="5">
        <v>73.7</v>
      </c>
      <c r="I868" s="3"/>
    </row>
    <row r="869" customHeight="1" spans="1:9">
      <c r="A869" s="3" t="str">
        <f t="shared" si="84"/>
        <v>0104</v>
      </c>
      <c r="B869" s="3" t="s">
        <v>15</v>
      </c>
      <c r="C869" s="3" t="str">
        <f>"刘立梅"</f>
        <v>刘立梅</v>
      </c>
      <c r="D869" s="3" t="str">
        <f t="shared" si="85"/>
        <v>女</v>
      </c>
      <c r="E869" s="3" t="str">
        <f>"2507013102"</f>
        <v>2507013102</v>
      </c>
      <c r="F869" s="3" t="str">
        <f t="shared" si="87"/>
        <v>31</v>
      </c>
      <c r="G869" s="4" t="str">
        <f>"02"</f>
        <v>02</v>
      </c>
      <c r="H869" s="5">
        <v>0</v>
      </c>
      <c r="I869" s="3" t="s">
        <v>11</v>
      </c>
    </row>
    <row r="870" customHeight="1" spans="1:9">
      <c r="A870" s="3" t="str">
        <f t="shared" si="84"/>
        <v>0104</v>
      </c>
      <c r="B870" s="3" t="s">
        <v>15</v>
      </c>
      <c r="C870" s="3" t="str">
        <f>"王斐"</f>
        <v>王斐</v>
      </c>
      <c r="D870" s="3" t="str">
        <f t="shared" si="85"/>
        <v>女</v>
      </c>
      <c r="E870" s="3" t="str">
        <f>"2507013103"</f>
        <v>2507013103</v>
      </c>
      <c r="F870" s="3" t="str">
        <f t="shared" si="87"/>
        <v>31</v>
      </c>
      <c r="G870" s="4" t="str">
        <f>"03"</f>
        <v>03</v>
      </c>
      <c r="H870" s="5">
        <v>0</v>
      </c>
      <c r="I870" s="3" t="s">
        <v>11</v>
      </c>
    </row>
    <row r="871" customHeight="1" spans="1:9">
      <c r="A871" s="3" t="str">
        <f t="shared" si="84"/>
        <v>0104</v>
      </c>
      <c r="B871" s="3" t="s">
        <v>15</v>
      </c>
      <c r="C871" s="3" t="str">
        <f>"苏珊珊"</f>
        <v>苏珊珊</v>
      </c>
      <c r="D871" s="3" t="str">
        <f t="shared" si="85"/>
        <v>女</v>
      </c>
      <c r="E871" s="3" t="str">
        <f>"2507013104"</f>
        <v>2507013104</v>
      </c>
      <c r="F871" s="3" t="str">
        <f t="shared" si="87"/>
        <v>31</v>
      </c>
      <c r="G871" s="4" t="str">
        <f>"04"</f>
        <v>04</v>
      </c>
      <c r="H871" s="5">
        <v>57.6</v>
      </c>
      <c r="I871" s="3"/>
    </row>
    <row r="872" customHeight="1" spans="1:9">
      <c r="A872" s="3" t="str">
        <f t="shared" si="84"/>
        <v>0104</v>
      </c>
      <c r="B872" s="3" t="s">
        <v>15</v>
      </c>
      <c r="C872" s="3" t="str">
        <f>"程月梅"</f>
        <v>程月梅</v>
      </c>
      <c r="D872" s="3" t="str">
        <f t="shared" si="85"/>
        <v>女</v>
      </c>
      <c r="E872" s="3" t="str">
        <f>"2507013105"</f>
        <v>2507013105</v>
      </c>
      <c r="F872" s="3" t="str">
        <f t="shared" si="87"/>
        <v>31</v>
      </c>
      <c r="G872" s="4" t="str">
        <f>"05"</f>
        <v>05</v>
      </c>
      <c r="H872" s="5">
        <v>63.6</v>
      </c>
      <c r="I872" s="3"/>
    </row>
    <row r="873" customHeight="1" spans="1:9">
      <c r="A873" s="3" t="str">
        <f t="shared" si="84"/>
        <v>0104</v>
      </c>
      <c r="B873" s="3" t="s">
        <v>15</v>
      </c>
      <c r="C873" s="3" t="str">
        <f>"胡皖"</f>
        <v>胡皖</v>
      </c>
      <c r="D873" s="3" t="str">
        <f t="shared" si="85"/>
        <v>女</v>
      </c>
      <c r="E873" s="3" t="str">
        <f>"2507013106"</f>
        <v>2507013106</v>
      </c>
      <c r="F873" s="3" t="str">
        <f t="shared" si="87"/>
        <v>31</v>
      </c>
      <c r="G873" s="4" t="str">
        <f>"06"</f>
        <v>06</v>
      </c>
      <c r="H873" s="5">
        <v>58</v>
      </c>
      <c r="I873" s="3"/>
    </row>
    <row r="874" customHeight="1" spans="1:9">
      <c r="A874" s="3" t="str">
        <f t="shared" si="84"/>
        <v>0104</v>
      </c>
      <c r="B874" s="3" t="s">
        <v>15</v>
      </c>
      <c r="C874" s="3" t="str">
        <f>"徐珊珊"</f>
        <v>徐珊珊</v>
      </c>
      <c r="D874" s="3" t="str">
        <f t="shared" si="85"/>
        <v>女</v>
      </c>
      <c r="E874" s="3" t="str">
        <f>"2507013107"</f>
        <v>2507013107</v>
      </c>
      <c r="F874" s="3" t="str">
        <f t="shared" si="87"/>
        <v>31</v>
      </c>
      <c r="G874" s="4" t="str">
        <f>"07"</f>
        <v>07</v>
      </c>
      <c r="H874" s="5">
        <v>48.8</v>
      </c>
      <c r="I874" s="3"/>
    </row>
    <row r="875" customHeight="1" spans="1:9">
      <c r="A875" s="3" t="str">
        <f t="shared" si="84"/>
        <v>0104</v>
      </c>
      <c r="B875" s="3" t="s">
        <v>15</v>
      </c>
      <c r="C875" s="3" t="str">
        <f>"刘楠"</f>
        <v>刘楠</v>
      </c>
      <c r="D875" s="3" t="str">
        <f t="shared" si="85"/>
        <v>女</v>
      </c>
      <c r="E875" s="3" t="str">
        <f>"2507013108"</f>
        <v>2507013108</v>
      </c>
      <c r="F875" s="3" t="str">
        <f t="shared" si="87"/>
        <v>31</v>
      </c>
      <c r="G875" s="4" t="str">
        <f>"08"</f>
        <v>08</v>
      </c>
      <c r="H875" s="5">
        <v>0</v>
      </c>
      <c r="I875" s="3" t="s">
        <v>11</v>
      </c>
    </row>
    <row r="876" customHeight="1" spans="1:9">
      <c r="A876" s="3" t="str">
        <f t="shared" si="84"/>
        <v>0104</v>
      </c>
      <c r="B876" s="3" t="s">
        <v>15</v>
      </c>
      <c r="C876" s="3" t="str">
        <f>"李浩然"</f>
        <v>李浩然</v>
      </c>
      <c r="D876" s="3" t="str">
        <f t="shared" si="85"/>
        <v>女</v>
      </c>
      <c r="E876" s="3" t="str">
        <f>"2507013109"</f>
        <v>2507013109</v>
      </c>
      <c r="F876" s="3" t="str">
        <f t="shared" si="87"/>
        <v>31</v>
      </c>
      <c r="G876" s="4" t="str">
        <f>"09"</f>
        <v>09</v>
      </c>
      <c r="H876" s="5">
        <v>0</v>
      </c>
      <c r="I876" s="3" t="s">
        <v>11</v>
      </c>
    </row>
    <row r="877" customHeight="1" spans="1:9">
      <c r="A877" s="3" t="str">
        <f t="shared" si="84"/>
        <v>0104</v>
      </c>
      <c r="B877" s="3" t="s">
        <v>15</v>
      </c>
      <c r="C877" s="3" t="str">
        <f>"齐晓梅"</f>
        <v>齐晓梅</v>
      </c>
      <c r="D877" s="3" t="str">
        <f t="shared" si="85"/>
        <v>女</v>
      </c>
      <c r="E877" s="3" t="str">
        <f>"2507013110"</f>
        <v>2507013110</v>
      </c>
      <c r="F877" s="3" t="str">
        <f t="shared" si="87"/>
        <v>31</v>
      </c>
      <c r="G877" s="4" t="str">
        <f>"10"</f>
        <v>10</v>
      </c>
      <c r="H877" s="5">
        <v>0</v>
      </c>
      <c r="I877" s="3" t="s">
        <v>11</v>
      </c>
    </row>
    <row r="878" customHeight="1" spans="1:9">
      <c r="A878" s="3" t="str">
        <f t="shared" si="84"/>
        <v>0104</v>
      </c>
      <c r="B878" s="3" t="s">
        <v>15</v>
      </c>
      <c r="C878" s="3" t="str">
        <f>"韩雨婷"</f>
        <v>韩雨婷</v>
      </c>
      <c r="D878" s="3" t="str">
        <f t="shared" si="85"/>
        <v>女</v>
      </c>
      <c r="E878" s="3" t="str">
        <f>"2507013111"</f>
        <v>2507013111</v>
      </c>
      <c r="F878" s="3" t="str">
        <f t="shared" si="87"/>
        <v>31</v>
      </c>
      <c r="G878" s="4" t="str">
        <f>"11"</f>
        <v>11</v>
      </c>
      <c r="H878" s="5">
        <v>63.9</v>
      </c>
      <c r="I878" s="3"/>
    </row>
    <row r="879" customHeight="1" spans="1:9">
      <c r="A879" s="3" t="str">
        <f t="shared" si="84"/>
        <v>0104</v>
      </c>
      <c r="B879" s="3" t="s">
        <v>15</v>
      </c>
      <c r="C879" s="3" t="str">
        <f>"乔琼琼"</f>
        <v>乔琼琼</v>
      </c>
      <c r="D879" s="3" t="str">
        <f t="shared" si="85"/>
        <v>女</v>
      </c>
      <c r="E879" s="3" t="str">
        <f>"2507013112"</f>
        <v>2507013112</v>
      </c>
      <c r="F879" s="3" t="str">
        <f t="shared" si="87"/>
        <v>31</v>
      </c>
      <c r="G879" s="4" t="str">
        <f>"12"</f>
        <v>12</v>
      </c>
      <c r="H879" s="5">
        <v>61.9</v>
      </c>
      <c r="I879" s="3"/>
    </row>
    <row r="880" customHeight="1" spans="1:9">
      <c r="A880" s="3" t="str">
        <f>"0104"</f>
        <v>0104</v>
      </c>
      <c r="B880" s="3" t="s">
        <v>15</v>
      </c>
      <c r="C880" s="3" t="str">
        <f>"曹佃霞"</f>
        <v>曹佃霞</v>
      </c>
      <c r="D880" s="3" t="str">
        <f t="shared" si="85"/>
        <v>女</v>
      </c>
      <c r="E880" s="3" t="str">
        <f>"2507013113"</f>
        <v>2507013113</v>
      </c>
      <c r="F880" s="3" t="str">
        <f t="shared" si="87"/>
        <v>31</v>
      </c>
      <c r="G880" s="4" t="str">
        <f>"13"</f>
        <v>13</v>
      </c>
      <c r="H880" s="5">
        <v>0</v>
      </c>
      <c r="I880" s="3" t="s">
        <v>11</v>
      </c>
    </row>
    <row r="881" customHeight="1" spans="1:9">
      <c r="A881" s="3" t="str">
        <f>"0104"</f>
        <v>0104</v>
      </c>
      <c r="B881" s="3" t="s">
        <v>15</v>
      </c>
      <c r="C881" s="3" t="str">
        <f>"王梦婷"</f>
        <v>王梦婷</v>
      </c>
      <c r="D881" s="3" t="str">
        <f t="shared" si="85"/>
        <v>女</v>
      </c>
      <c r="E881" s="3" t="str">
        <f>"2507013114"</f>
        <v>2507013114</v>
      </c>
      <c r="F881" s="3" t="str">
        <f t="shared" si="87"/>
        <v>31</v>
      </c>
      <c r="G881" s="4" t="str">
        <f>"14"</f>
        <v>14</v>
      </c>
      <c r="H881" s="5">
        <v>62.9</v>
      </c>
      <c r="I881" s="3"/>
    </row>
    <row r="882" customHeight="1" spans="1:9">
      <c r="A882" s="3" t="str">
        <f>"0104"</f>
        <v>0104</v>
      </c>
      <c r="B882" s="3" t="s">
        <v>15</v>
      </c>
      <c r="C882" s="3" t="str">
        <f>"王静茹"</f>
        <v>王静茹</v>
      </c>
      <c r="D882" s="3" t="str">
        <f t="shared" si="85"/>
        <v>女</v>
      </c>
      <c r="E882" s="3" t="str">
        <f>"2507013115"</f>
        <v>2507013115</v>
      </c>
      <c r="F882" s="3" t="str">
        <f t="shared" si="87"/>
        <v>31</v>
      </c>
      <c r="G882" s="4" t="str">
        <f>"15"</f>
        <v>15</v>
      </c>
      <c r="H882" s="5">
        <v>49.2</v>
      </c>
      <c r="I882" s="3"/>
    </row>
    <row r="883" customHeight="1" spans="1:9">
      <c r="A883" s="3" t="str">
        <f t="shared" ref="A883:A946" si="88">"0120"</f>
        <v>0120</v>
      </c>
      <c r="B883" s="3" t="s">
        <v>16</v>
      </c>
      <c r="C883" s="3" t="str">
        <f>"鲁怡含"</f>
        <v>鲁怡含</v>
      </c>
      <c r="D883" s="3" t="str">
        <f t="shared" ref="D883:D906" si="89">"女"</f>
        <v>女</v>
      </c>
      <c r="E883" s="3" t="str">
        <f>"2507013201"</f>
        <v>2507013201</v>
      </c>
      <c r="F883" s="3" t="str">
        <f t="shared" ref="F883:F912" si="90">"32"</f>
        <v>32</v>
      </c>
      <c r="G883" s="4" t="str">
        <f>"01"</f>
        <v>01</v>
      </c>
      <c r="H883" s="5">
        <v>52.1</v>
      </c>
      <c r="I883" s="3"/>
    </row>
    <row r="884" customHeight="1" spans="1:9">
      <c r="A884" s="3" t="str">
        <f t="shared" si="88"/>
        <v>0120</v>
      </c>
      <c r="B884" s="3" t="s">
        <v>16</v>
      </c>
      <c r="C884" s="3" t="str">
        <f>"徐子寒"</f>
        <v>徐子寒</v>
      </c>
      <c r="D884" s="3" t="str">
        <f t="shared" si="89"/>
        <v>女</v>
      </c>
      <c r="E884" s="3" t="str">
        <f>"2507013202"</f>
        <v>2507013202</v>
      </c>
      <c r="F884" s="3" t="str">
        <f t="shared" si="90"/>
        <v>32</v>
      </c>
      <c r="G884" s="4" t="str">
        <f>"02"</f>
        <v>02</v>
      </c>
      <c r="H884" s="5">
        <v>0</v>
      </c>
      <c r="I884" s="3" t="s">
        <v>11</v>
      </c>
    </row>
    <row r="885" customHeight="1" spans="1:9">
      <c r="A885" s="3" t="str">
        <f t="shared" si="88"/>
        <v>0120</v>
      </c>
      <c r="B885" s="3" t="s">
        <v>16</v>
      </c>
      <c r="C885" s="3" t="str">
        <f>"王辛茹"</f>
        <v>王辛茹</v>
      </c>
      <c r="D885" s="3" t="str">
        <f t="shared" si="89"/>
        <v>女</v>
      </c>
      <c r="E885" s="3" t="str">
        <f>"2507013203"</f>
        <v>2507013203</v>
      </c>
      <c r="F885" s="3" t="str">
        <f t="shared" si="90"/>
        <v>32</v>
      </c>
      <c r="G885" s="4" t="str">
        <f>"03"</f>
        <v>03</v>
      </c>
      <c r="H885" s="5">
        <v>63.8</v>
      </c>
      <c r="I885" s="3"/>
    </row>
    <row r="886" customHeight="1" spans="1:9">
      <c r="A886" s="3" t="str">
        <f t="shared" si="88"/>
        <v>0120</v>
      </c>
      <c r="B886" s="3" t="s">
        <v>16</v>
      </c>
      <c r="C886" s="3" t="str">
        <f>"孙婉琪"</f>
        <v>孙婉琪</v>
      </c>
      <c r="D886" s="3" t="str">
        <f t="shared" si="89"/>
        <v>女</v>
      </c>
      <c r="E886" s="3" t="str">
        <f>"2507013204"</f>
        <v>2507013204</v>
      </c>
      <c r="F886" s="3" t="str">
        <f t="shared" si="90"/>
        <v>32</v>
      </c>
      <c r="G886" s="4" t="str">
        <f>"04"</f>
        <v>04</v>
      </c>
      <c r="H886" s="5">
        <v>58.8</v>
      </c>
      <c r="I886" s="3"/>
    </row>
    <row r="887" customHeight="1" spans="1:9">
      <c r="A887" s="3" t="str">
        <f t="shared" si="88"/>
        <v>0120</v>
      </c>
      <c r="B887" s="3" t="s">
        <v>16</v>
      </c>
      <c r="C887" s="3" t="str">
        <f>"杨惠君"</f>
        <v>杨惠君</v>
      </c>
      <c r="D887" s="3" t="str">
        <f t="shared" si="89"/>
        <v>女</v>
      </c>
      <c r="E887" s="3" t="str">
        <f>"2507013205"</f>
        <v>2507013205</v>
      </c>
      <c r="F887" s="3" t="str">
        <f t="shared" si="90"/>
        <v>32</v>
      </c>
      <c r="G887" s="4" t="str">
        <f>"05"</f>
        <v>05</v>
      </c>
      <c r="H887" s="5">
        <v>59.2</v>
      </c>
      <c r="I887" s="3"/>
    </row>
    <row r="888" customHeight="1" spans="1:9">
      <c r="A888" s="3" t="str">
        <f t="shared" si="88"/>
        <v>0120</v>
      </c>
      <c r="B888" s="3" t="s">
        <v>16</v>
      </c>
      <c r="C888" s="3" t="str">
        <f>"王心雨"</f>
        <v>王心雨</v>
      </c>
      <c r="D888" s="3" t="str">
        <f t="shared" si="89"/>
        <v>女</v>
      </c>
      <c r="E888" s="3" t="str">
        <f>"2507013206"</f>
        <v>2507013206</v>
      </c>
      <c r="F888" s="3" t="str">
        <f t="shared" si="90"/>
        <v>32</v>
      </c>
      <c r="G888" s="4" t="str">
        <f>"06"</f>
        <v>06</v>
      </c>
      <c r="H888" s="5">
        <v>0</v>
      </c>
      <c r="I888" s="3" t="s">
        <v>11</v>
      </c>
    </row>
    <row r="889" customHeight="1" spans="1:9">
      <c r="A889" s="3" t="str">
        <f t="shared" si="88"/>
        <v>0120</v>
      </c>
      <c r="B889" s="3" t="s">
        <v>16</v>
      </c>
      <c r="C889" s="3" t="str">
        <f>"刘军言"</f>
        <v>刘军言</v>
      </c>
      <c r="D889" s="3" t="str">
        <f t="shared" si="89"/>
        <v>女</v>
      </c>
      <c r="E889" s="3" t="str">
        <f>"2507013207"</f>
        <v>2507013207</v>
      </c>
      <c r="F889" s="3" t="str">
        <f t="shared" si="90"/>
        <v>32</v>
      </c>
      <c r="G889" s="4" t="str">
        <f>"07"</f>
        <v>07</v>
      </c>
      <c r="H889" s="5">
        <v>0</v>
      </c>
      <c r="I889" s="3" t="s">
        <v>11</v>
      </c>
    </row>
    <row r="890" customHeight="1" spans="1:9">
      <c r="A890" s="3" t="str">
        <f t="shared" si="88"/>
        <v>0120</v>
      </c>
      <c r="B890" s="3" t="s">
        <v>16</v>
      </c>
      <c r="C890" s="3" t="str">
        <f>"张雨霏"</f>
        <v>张雨霏</v>
      </c>
      <c r="D890" s="3" t="str">
        <f t="shared" si="89"/>
        <v>女</v>
      </c>
      <c r="E890" s="3" t="str">
        <f>"2507013208"</f>
        <v>2507013208</v>
      </c>
      <c r="F890" s="3" t="str">
        <f t="shared" si="90"/>
        <v>32</v>
      </c>
      <c r="G890" s="4" t="str">
        <f>"08"</f>
        <v>08</v>
      </c>
      <c r="H890" s="5">
        <v>63.6</v>
      </c>
      <c r="I890" s="3"/>
    </row>
    <row r="891" customHeight="1" spans="1:9">
      <c r="A891" s="3" t="str">
        <f t="shared" si="88"/>
        <v>0120</v>
      </c>
      <c r="B891" s="3" t="s">
        <v>16</v>
      </c>
      <c r="C891" s="3" t="str">
        <f>"吴阳"</f>
        <v>吴阳</v>
      </c>
      <c r="D891" s="3" t="str">
        <f t="shared" si="89"/>
        <v>女</v>
      </c>
      <c r="E891" s="3" t="str">
        <f>"2507013209"</f>
        <v>2507013209</v>
      </c>
      <c r="F891" s="3" t="str">
        <f t="shared" si="90"/>
        <v>32</v>
      </c>
      <c r="G891" s="4" t="str">
        <f>"09"</f>
        <v>09</v>
      </c>
      <c r="H891" s="5">
        <v>0</v>
      </c>
      <c r="I891" s="3" t="s">
        <v>11</v>
      </c>
    </row>
    <row r="892" customHeight="1" spans="1:9">
      <c r="A892" s="3" t="str">
        <f t="shared" si="88"/>
        <v>0120</v>
      </c>
      <c r="B892" s="3" t="s">
        <v>16</v>
      </c>
      <c r="C892" s="3" t="str">
        <f>"武景"</f>
        <v>武景</v>
      </c>
      <c r="D892" s="3" t="str">
        <f t="shared" si="89"/>
        <v>女</v>
      </c>
      <c r="E892" s="3" t="str">
        <f>"2507013210"</f>
        <v>2507013210</v>
      </c>
      <c r="F892" s="3" t="str">
        <f t="shared" si="90"/>
        <v>32</v>
      </c>
      <c r="G892" s="4" t="str">
        <f>"10"</f>
        <v>10</v>
      </c>
      <c r="H892" s="5">
        <v>67.3</v>
      </c>
      <c r="I892" s="3"/>
    </row>
    <row r="893" customHeight="1" spans="1:9">
      <c r="A893" s="3" t="str">
        <f t="shared" si="88"/>
        <v>0120</v>
      </c>
      <c r="B893" s="3" t="s">
        <v>16</v>
      </c>
      <c r="C893" s="3" t="str">
        <f>"廖若彤"</f>
        <v>廖若彤</v>
      </c>
      <c r="D893" s="3" t="str">
        <f t="shared" si="89"/>
        <v>女</v>
      </c>
      <c r="E893" s="3" t="str">
        <f>"2507013211"</f>
        <v>2507013211</v>
      </c>
      <c r="F893" s="3" t="str">
        <f t="shared" si="90"/>
        <v>32</v>
      </c>
      <c r="G893" s="4" t="str">
        <f>"11"</f>
        <v>11</v>
      </c>
      <c r="H893" s="5">
        <v>0</v>
      </c>
      <c r="I893" s="3" t="s">
        <v>11</v>
      </c>
    </row>
    <row r="894" customHeight="1" spans="1:9">
      <c r="A894" s="3" t="str">
        <f t="shared" si="88"/>
        <v>0120</v>
      </c>
      <c r="B894" s="3" t="s">
        <v>16</v>
      </c>
      <c r="C894" s="3" t="str">
        <f>"王圣金"</f>
        <v>王圣金</v>
      </c>
      <c r="D894" s="3" t="str">
        <f t="shared" si="89"/>
        <v>女</v>
      </c>
      <c r="E894" s="3" t="str">
        <f>"2507013212"</f>
        <v>2507013212</v>
      </c>
      <c r="F894" s="3" t="str">
        <f t="shared" si="90"/>
        <v>32</v>
      </c>
      <c r="G894" s="4" t="str">
        <f>"12"</f>
        <v>12</v>
      </c>
      <c r="H894" s="5">
        <v>0</v>
      </c>
      <c r="I894" s="3" t="s">
        <v>11</v>
      </c>
    </row>
    <row r="895" customHeight="1" spans="1:9">
      <c r="A895" s="3" t="str">
        <f t="shared" si="88"/>
        <v>0120</v>
      </c>
      <c r="B895" s="3" t="s">
        <v>16</v>
      </c>
      <c r="C895" s="3" t="str">
        <f>"仲夏"</f>
        <v>仲夏</v>
      </c>
      <c r="D895" s="3" t="str">
        <f t="shared" si="89"/>
        <v>女</v>
      </c>
      <c r="E895" s="3" t="str">
        <f>"2507013213"</f>
        <v>2507013213</v>
      </c>
      <c r="F895" s="3" t="str">
        <f t="shared" si="90"/>
        <v>32</v>
      </c>
      <c r="G895" s="4" t="str">
        <f>"13"</f>
        <v>13</v>
      </c>
      <c r="H895" s="5">
        <v>64.8</v>
      </c>
      <c r="I895" s="3"/>
    </row>
    <row r="896" customHeight="1" spans="1:9">
      <c r="A896" s="3" t="str">
        <f t="shared" si="88"/>
        <v>0120</v>
      </c>
      <c r="B896" s="3" t="s">
        <v>16</v>
      </c>
      <c r="C896" s="3" t="str">
        <f>"景向心"</f>
        <v>景向心</v>
      </c>
      <c r="D896" s="3" t="str">
        <f t="shared" si="89"/>
        <v>女</v>
      </c>
      <c r="E896" s="3" t="str">
        <f>"2507013214"</f>
        <v>2507013214</v>
      </c>
      <c r="F896" s="3" t="str">
        <f t="shared" si="90"/>
        <v>32</v>
      </c>
      <c r="G896" s="4" t="str">
        <f>"14"</f>
        <v>14</v>
      </c>
      <c r="H896" s="5">
        <v>69.8</v>
      </c>
      <c r="I896" s="3"/>
    </row>
    <row r="897" customHeight="1" spans="1:9">
      <c r="A897" s="3" t="str">
        <f t="shared" si="88"/>
        <v>0120</v>
      </c>
      <c r="B897" s="3" t="s">
        <v>16</v>
      </c>
      <c r="C897" s="3" t="str">
        <f>"张敏慧"</f>
        <v>张敏慧</v>
      </c>
      <c r="D897" s="3" t="str">
        <f t="shared" si="89"/>
        <v>女</v>
      </c>
      <c r="E897" s="3" t="str">
        <f>"2507013215"</f>
        <v>2507013215</v>
      </c>
      <c r="F897" s="3" t="str">
        <f t="shared" si="90"/>
        <v>32</v>
      </c>
      <c r="G897" s="4" t="str">
        <f>"15"</f>
        <v>15</v>
      </c>
      <c r="H897" s="5">
        <v>0</v>
      </c>
      <c r="I897" s="3" t="s">
        <v>11</v>
      </c>
    </row>
    <row r="898" customHeight="1" spans="1:9">
      <c r="A898" s="3" t="str">
        <f t="shared" si="88"/>
        <v>0120</v>
      </c>
      <c r="B898" s="3" t="s">
        <v>16</v>
      </c>
      <c r="C898" s="3" t="str">
        <f>"徐奇缘"</f>
        <v>徐奇缘</v>
      </c>
      <c r="D898" s="3" t="str">
        <f t="shared" si="89"/>
        <v>女</v>
      </c>
      <c r="E898" s="3" t="str">
        <f>"2507013216"</f>
        <v>2507013216</v>
      </c>
      <c r="F898" s="3" t="str">
        <f t="shared" si="90"/>
        <v>32</v>
      </c>
      <c r="G898" s="4" t="str">
        <f>"16"</f>
        <v>16</v>
      </c>
      <c r="H898" s="5">
        <v>66.8</v>
      </c>
      <c r="I898" s="3"/>
    </row>
    <row r="899" customHeight="1" spans="1:9">
      <c r="A899" s="3" t="str">
        <f t="shared" si="88"/>
        <v>0120</v>
      </c>
      <c r="B899" s="3" t="s">
        <v>16</v>
      </c>
      <c r="C899" s="3" t="str">
        <f>"王园园"</f>
        <v>王园园</v>
      </c>
      <c r="D899" s="3" t="str">
        <f t="shared" si="89"/>
        <v>女</v>
      </c>
      <c r="E899" s="3" t="str">
        <f>"2507013217"</f>
        <v>2507013217</v>
      </c>
      <c r="F899" s="3" t="str">
        <f t="shared" si="90"/>
        <v>32</v>
      </c>
      <c r="G899" s="4" t="str">
        <f>"17"</f>
        <v>17</v>
      </c>
      <c r="H899" s="5">
        <v>65.8</v>
      </c>
      <c r="I899" s="3"/>
    </row>
    <row r="900" customHeight="1" spans="1:9">
      <c r="A900" s="3" t="str">
        <f t="shared" si="88"/>
        <v>0120</v>
      </c>
      <c r="B900" s="3" t="s">
        <v>16</v>
      </c>
      <c r="C900" s="3" t="str">
        <f>"刘纪凤"</f>
        <v>刘纪凤</v>
      </c>
      <c r="D900" s="3" t="str">
        <f t="shared" si="89"/>
        <v>女</v>
      </c>
      <c r="E900" s="3" t="str">
        <f>"2507013218"</f>
        <v>2507013218</v>
      </c>
      <c r="F900" s="3" t="str">
        <f t="shared" si="90"/>
        <v>32</v>
      </c>
      <c r="G900" s="4" t="str">
        <f>"18"</f>
        <v>18</v>
      </c>
      <c r="H900" s="5">
        <v>59.3</v>
      </c>
      <c r="I900" s="3"/>
    </row>
    <row r="901" customHeight="1" spans="1:9">
      <c r="A901" s="3" t="str">
        <f t="shared" si="88"/>
        <v>0120</v>
      </c>
      <c r="B901" s="3" t="s">
        <v>16</v>
      </c>
      <c r="C901" s="3" t="str">
        <f>"陈婕"</f>
        <v>陈婕</v>
      </c>
      <c r="D901" s="3" t="str">
        <f t="shared" si="89"/>
        <v>女</v>
      </c>
      <c r="E901" s="3" t="str">
        <f>"2507013219"</f>
        <v>2507013219</v>
      </c>
      <c r="F901" s="3" t="str">
        <f t="shared" si="90"/>
        <v>32</v>
      </c>
      <c r="G901" s="4" t="str">
        <f>"19"</f>
        <v>19</v>
      </c>
      <c r="H901" s="5">
        <v>64.4</v>
      </c>
      <c r="I901" s="3"/>
    </row>
    <row r="902" customHeight="1" spans="1:9">
      <c r="A902" s="3" t="str">
        <f t="shared" si="88"/>
        <v>0120</v>
      </c>
      <c r="B902" s="3" t="s">
        <v>16</v>
      </c>
      <c r="C902" s="3" t="str">
        <f>"杨姿禾"</f>
        <v>杨姿禾</v>
      </c>
      <c r="D902" s="3" t="str">
        <f t="shared" si="89"/>
        <v>女</v>
      </c>
      <c r="E902" s="3" t="str">
        <f>"2507013220"</f>
        <v>2507013220</v>
      </c>
      <c r="F902" s="3" t="str">
        <f t="shared" si="90"/>
        <v>32</v>
      </c>
      <c r="G902" s="4" t="str">
        <f>"20"</f>
        <v>20</v>
      </c>
      <c r="H902" s="5">
        <v>62.8</v>
      </c>
      <c r="I902" s="3"/>
    </row>
    <row r="903" customHeight="1" spans="1:9">
      <c r="A903" s="3" t="str">
        <f t="shared" si="88"/>
        <v>0120</v>
      </c>
      <c r="B903" s="3" t="s">
        <v>16</v>
      </c>
      <c r="C903" s="3" t="str">
        <f>"石雨婷"</f>
        <v>石雨婷</v>
      </c>
      <c r="D903" s="3" t="str">
        <f t="shared" si="89"/>
        <v>女</v>
      </c>
      <c r="E903" s="3" t="str">
        <f>"2507013221"</f>
        <v>2507013221</v>
      </c>
      <c r="F903" s="3" t="str">
        <f t="shared" si="90"/>
        <v>32</v>
      </c>
      <c r="G903" s="4" t="str">
        <f>"21"</f>
        <v>21</v>
      </c>
      <c r="H903" s="5">
        <v>58.3</v>
      </c>
      <c r="I903" s="3"/>
    </row>
    <row r="904" customHeight="1" spans="1:9">
      <c r="A904" s="3" t="str">
        <f t="shared" si="88"/>
        <v>0120</v>
      </c>
      <c r="B904" s="3" t="s">
        <v>16</v>
      </c>
      <c r="C904" s="3" t="str">
        <f>"王茹"</f>
        <v>王茹</v>
      </c>
      <c r="D904" s="3" t="str">
        <f t="shared" si="89"/>
        <v>女</v>
      </c>
      <c r="E904" s="3" t="str">
        <f>"2507013222"</f>
        <v>2507013222</v>
      </c>
      <c r="F904" s="3" t="str">
        <f t="shared" si="90"/>
        <v>32</v>
      </c>
      <c r="G904" s="4" t="str">
        <f>"22"</f>
        <v>22</v>
      </c>
      <c r="H904" s="5">
        <v>57.4</v>
      </c>
      <c r="I904" s="3"/>
    </row>
    <row r="905" customHeight="1" spans="1:9">
      <c r="A905" s="3" t="str">
        <f t="shared" si="88"/>
        <v>0120</v>
      </c>
      <c r="B905" s="3" t="s">
        <v>16</v>
      </c>
      <c r="C905" s="3" t="str">
        <f>"董晔霖"</f>
        <v>董晔霖</v>
      </c>
      <c r="D905" s="3" t="str">
        <f t="shared" si="89"/>
        <v>女</v>
      </c>
      <c r="E905" s="3" t="str">
        <f>"2507013223"</f>
        <v>2507013223</v>
      </c>
      <c r="F905" s="3" t="str">
        <f t="shared" si="90"/>
        <v>32</v>
      </c>
      <c r="G905" s="4" t="str">
        <f>"23"</f>
        <v>23</v>
      </c>
      <c r="H905" s="5">
        <v>0</v>
      </c>
      <c r="I905" s="3" t="s">
        <v>11</v>
      </c>
    </row>
    <row r="906" customHeight="1" spans="1:9">
      <c r="A906" s="3" t="str">
        <f t="shared" si="88"/>
        <v>0120</v>
      </c>
      <c r="B906" s="3" t="s">
        <v>16</v>
      </c>
      <c r="C906" s="3" t="str">
        <f>"庞汝彦"</f>
        <v>庞汝彦</v>
      </c>
      <c r="D906" s="3" t="str">
        <f t="shared" si="89"/>
        <v>女</v>
      </c>
      <c r="E906" s="3" t="str">
        <f>"2507013224"</f>
        <v>2507013224</v>
      </c>
      <c r="F906" s="3" t="str">
        <f t="shared" si="90"/>
        <v>32</v>
      </c>
      <c r="G906" s="4" t="str">
        <f>"24"</f>
        <v>24</v>
      </c>
      <c r="H906" s="5">
        <v>57.4</v>
      </c>
      <c r="I906" s="3"/>
    </row>
    <row r="907" customHeight="1" spans="1:9">
      <c r="A907" s="3" t="str">
        <f t="shared" si="88"/>
        <v>0120</v>
      </c>
      <c r="B907" s="3" t="s">
        <v>16</v>
      </c>
      <c r="C907" s="3" t="str">
        <f>"李晓帅"</f>
        <v>李晓帅</v>
      </c>
      <c r="D907" s="3" t="str">
        <f>"男"</f>
        <v>男</v>
      </c>
      <c r="E907" s="3" t="str">
        <f>"2507013225"</f>
        <v>2507013225</v>
      </c>
      <c r="F907" s="3" t="str">
        <f t="shared" si="90"/>
        <v>32</v>
      </c>
      <c r="G907" s="4" t="str">
        <f>"25"</f>
        <v>25</v>
      </c>
      <c r="H907" s="5">
        <v>51.9</v>
      </c>
      <c r="I907" s="3"/>
    </row>
    <row r="908" customHeight="1" spans="1:9">
      <c r="A908" s="3" t="str">
        <f t="shared" si="88"/>
        <v>0120</v>
      </c>
      <c r="B908" s="3" t="s">
        <v>16</v>
      </c>
      <c r="C908" s="3" t="str">
        <f>"张可"</f>
        <v>张可</v>
      </c>
      <c r="D908" s="3" t="str">
        <f t="shared" ref="D908:D931" si="91">"女"</f>
        <v>女</v>
      </c>
      <c r="E908" s="3" t="str">
        <f>"2507013226"</f>
        <v>2507013226</v>
      </c>
      <c r="F908" s="3" t="str">
        <f t="shared" si="90"/>
        <v>32</v>
      </c>
      <c r="G908" s="4" t="str">
        <f>"26"</f>
        <v>26</v>
      </c>
      <c r="H908" s="5">
        <v>53.8</v>
      </c>
      <c r="I908" s="3"/>
    </row>
    <row r="909" customHeight="1" spans="1:9">
      <c r="A909" s="3" t="str">
        <f t="shared" si="88"/>
        <v>0120</v>
      </c>
      <c r="B909" s="3" t="s">
        <v>16</v>
      </c>
      <c r="C909" s="3" t="str">
        <f>"孙晓宸"</f>
        <v>孙晓宸</v>
      </c>
      <c r="D909" s="3" t="str">
        <f t="shared" si="91"/>
        <v>女</v>
      </c>
      <c r="E909" s="3" t="str">
        <f>"2507013227"</f>
        <v>2507013227</v>
      </c>
      <c r="F909" s="3" t="str">
        <f t="shared" si="90"/>
        <v>32</v>
      </c>
      <c r="G909" s="4" t="str">
        <f>"27"</f>
        <v>27</v>
      </c>
      <c r="H909" s="5">
        <v>53.6</v>
      </c>
      <c r="I909" s="3"/>
    </row>
    <row r="910" customHeight="1" spans="1:9">
      <c r="A910" s="3" t="str">
        <f t="shared" si="88"/>
        <v>0120</v>
      </c>
      <c r="B910" s="3" t="s">
        <v>16</v>
      </c>
      <c r="C910" s="3" t="str">
        <f>"刘熙存"</f>
        <v>刘熙存</v>
      </c>
      <c r="D910" s="3" t="str">
        <f t="shared" si="91"/>
        <v>女</v>
      </c>
      <c r="E910" s="3" t="str">
        <f>"2507013228"</f>
        <v>2507013228</v>
      </c>
      <c r="F910" s="3" t="str">
        <f t="shared" si="90"/>
        <v>32</v>
      </c>
      <c r="G910" s="4" t="str">
        <f>"28"</f>
        <v>28</v>
      </c>
      <c r="H910" s="5">
        <v>0</v>
      </c>
      <c r="I910" s="3" t="s">
        <v>11</v>
      </c>
    </row>
    <row r="911" customHeight="1" spans="1:9">
      <c r="A911" s="3" t="str">
        <f t="shared" si="88"/>
        <v>0120</v>
      </c>
      <c r="B911" s="3" t="s">
        <v>16</v>
      </c>
      <c r="C911" s="3" t="str">
        <f>"张美玲"</f>
        <v>张美玲</v>
      </c>
      <c r="D911" s="3" t="str">
        <f t="shared" si="91"/>
        <v>女</v>
      </c>
      <c r="E911" s="3" t="str">
        <f>"2507013229"</f>
        <v>2507013229</v>
      </c>
      <c r="F911" s="3" t="str">
        <f t="shared" si="90"/>
        <v>32</v>
      </c>
      <c r="G911" s="4" t="str">
        <f>"29"</f>
        <v>29</v>
      </c>
      <c r="H911" s="5">
        <v>54.9</v>
      </c>
      <c r="I911" s="3"/>
    </row>
    <row r="912" customHeight="1" spans="1:9">
      <c r="A912" s="3" t="str">
        <f t="shared" si="88"/>
        <v>0120</v>
      </c>
      <c r="B912" s="3" t="s">
        <v>16</v>
      </c>
      <c r="C912" s="3" t="str">
        <f>"姚雨妍"</f>
        <v>姚雨妍</v>
      </c>
      <c r="D912" s="3" t="str">
        <f t="shared" si="91"/>
        <v>女</v>
      </c>
      <c r="E912" s="3" t="str">
        <f>"2507013230"</f>
        <v>2507013230</v>
      </c>
      <c r="F912" s="3" t="str">
        <f t="shared" si="90"/>
        <v>32</v>
      </c>
      <c r="G912" s="4" t="str">
        <f>"30"</f>
        <v>30</v>
      </c>
      <c r="H912" s="5">
        <v>0</v>
      </c>
      <c r="I912" s="3" t="s">
        <v>11</v>
      </c>
    </row>
    <row r="913" customHeight="1" spans="1:9">
      <c r="A913" s="3" t="str">
        <f t="shared" si="88"/>
        <v>0120</v>
      </c>
      <c r="B913" s="3" t="s">
        <v>16</v>
      </c>
      <c r="C913" s="3" t="str">
        <f>"张思琪"</f>
        <v>张思琪</v>
      </c>
      <c r="D913" s="3" t="str">
        <f t="shared" si="91"/>
        <v>女</v>
      </c>
      <c r="E913" s="3" t="str">
        <f>"2507013301"</f>
        <v>2507013301</v>
      </c>
      <c r="F913" s="3" t="str">
        <f t="shared" ref="F913:F942" si="92">"33"</f>
        <v>33</v>
      </c>
      <c r="G913" s="4" t="str">
        <f>"01"</f>
        <v>01</v>
      </c>
      <c r="H913" s="5">
        <v>59.7</v>
      </c>
      <c r="I913" s="3"/>
    </row>
    <row r="914" customHeight="1" spans="1:9">
      <c r="A914" s="3" t="str">
        <f t="shared" si="88"/>
        <v>0120</v>
      </c>
      <c r="B914" s="3" t="s">
        <v>16</v>
      </c>
      <c r="C914" s="3" t="str">
        <f>"侯靖宇"</f>
        <v>侯靖宇</v>
      </c>
      <c r="D914" s="3" t="str">
        <f t="shared" si="91"/>
        <v>女</v>
      </c>
      <c r="E914" s="3" t="str">
        <f>"2507013302"</f>
        <v>2507013302</v>
      </c>
      <c r="F914" s="3" t="str">
        <f t="shared" si="92"/>
        <v>33</v>
      </c>
      <c r="G914" s="4" t="str">
        <f>"02"</f>
        <v>02</v>
      </c>
      <c r="H914" s="5">
        <v>64.9</v>
      </c>
      <c r="I914" s="3"/>
    </row>
    <row r="915" customHeight="1" spans="1:9">
      <c r="A915" s="3" t="str">
        <f t="shared" si="88"/>
        <v>0120</v>
      </c>
      <c r="B915" s="3" t="s">
        <v>16</v>
      </c>
      <c r="C915" s="3" t="str">
        <f>"吴淑颖"</f>
        <v>吴淑颖</v>
      </c>
      <c r="D915" s="3" t="str">
        <f t="shared" si="91"/>
        <v>女</v>
      </c>
      <c r="E915" s="3" t="str">
        <f>"2507013303"</f>
        <v>2507013303</v>
      </c>
      <c r="F915" s="3" t="str">
        <f t="shared" si="92"/>
        <v>33</v>
      </c>
      <c r="G915" s="4" t="str">
        <f>"03"</f>
        <v>03</v>
      </c>
      <c r="H915" s="5">
        <v>64.8</v>
      </c>
      <c r="I915" s="3"/>
    </row>
    <row r="916" customHeight="1" spans="1:9">
      <c r="A916" s="3" t="str">
        <f t="shared" si="88"/>
        <v>0120</v>
      </c>
      <c r="B916" s="3" t="s">
        <v>16</v>
      </c>
      <c r="C916" s="3" t="str">
        <f>"杨紫燕"</f>
        <v>杨紫燕</v>
      </c>
      <c r="D916" s="3" t="str">
        <f t="shared" si="91"/>
        <v>女</v>
      </c>
      <c r="E916" s="3" t="str">
        <f>"2507013304"</f>
        <v>2507013304</v>
      </c>
      <c r="F916" s="3" t="str">
        <f t="shared" si="92"/>
        <v>33</v>
      </c>
      <c r="G916" s="4" t="str">
        <f>"04"</f>
        <v>04</v>
      </c>
      <c r="H916" s="5">
        <v>55.1</v>
      </c>
      <c r="I916" s="3"/>
    </row>
    <row r="917" customHeight="1" spans="1:9">
      <c r="A917" s="3" t="str">
        <f t="shared" si="88"/>
        <v>0120</v>
      </c>
      <c r="B917" s="3" t="s">
        <v>16</v>
      </c>
      <c r="C917" s="3" t="str">
        <f>"麻乐乐"</f>
        <v>麻乐乐</v>
      </c>
      <c r="D917" s="3" t="str">
        <f t="shared" si="91"/>
        <v>女</v>
      </c>
      <c r="E917" s="3" t="str">
        <f>"2507013305"</f>
        <v>2507013305</v>
      </c>
      <c r="F917" s="3" t="str">
        <f t="shared" si="92"/>
        <v>33</v>
      </c>
      <c r="G917" s="4" t="str">
        <f>"05"</f>
        <v>05</v>
      </c>
      <c r="H917" s="5">
        <v>0</v>
      </c>
      <c r="I917" s="3" t="s">
        <v>11</v>
      </c>
    </row>
    <row r="918" customHeight="1" spans="1:9">
      <c r="A918" s="3" t="str">
        <f t="shared" si="88"/>
        <v>0120</v>
      </c>
      <c r="B918" s="3" t="s">
        <v>16</v>
      </c>
      <c r="C918" s="3" t="str">
        <f>"李东梅"</f>
        <v>李东梅</v>
      </c>
      <c r="D918" s="3" t="str">
        <f t="shared" si="91"/>
        <v>女</v>
      </c>
      <c r="E918" s="3" t="str">
        <f>"2507013306"</f>
        <v>2507013306</v>
      </c>
      <c r="F918" s="3" t="str">
        <f t="shared" si="92"/>
        <v>33</v>
      </c>
      <c r="G918" s="4" t="str">
        <f>"06"</f>
        <v>06</v>
      </c>
      <c r="H918" s="5">
        <v>0</v>
      </c>
      <c r="I918" s="3" t="s">
        <v>11</v>
      </c>
    </row>
    <row r="919" customHeight="1" spans="1:9">
      <c r="A919" s="3" t="str">
        <f t="shared" si="88"/>
        <v>0120</v>
      </c>
      <c r="B919" s="3" t="s">
        <v>16</v>
      </c>
      <c r="C919" s="3" t="str">
        <f>"曹卓"</f>
        <v>曹卓</v>
      </c>
      <c r="D919" s="3" t="str">
        <f t="shared" si="91"/>
        <v>女</v>
      </c>
      <c r="E919" s="3" t="str">
        <f>"2507013307"</f>
        <v>2507013307</v>
      </c>
      <c r="F919" s="3" t="str">
        <f t="shared" si="92"/>
        <v>33</v>
      </c>
      <c r="G919" s="4" t="str">
        <f>"07"</f>
        <v>07</v>
      </c>
      <c r="H919" s="5">
        <v>55.3</v>
      </c>
      <c r="I919" s="3"/>
    </row>
    <row r="920" customHeight="1" spans="1:9">
      <c r="A920" s="3" t="str">
        <f t="shared" si="88"/>
        <v>0120</v>
      </c>
      <c r="B920" s="3" t="s">
        <v>16</v>
      </c>
      <c r="C920" s="3" t="str">
        <f>"赵梦晴"</f>
        <v>赵梦晴</v>
      </c>
      <c r="D920" s="3" t="str">
        <f t="shared" si="91"/>
        <v>女</v>
      </c>
      <c r="E920" s="3" t="str">
        <f>"2507013308"</f>
        <v>2507013308</v>
      </c>
      <c r="F920" s="3" t="str">
        <f t="shared" si="92"/>
        <v>33</v>
      </c>
      <c r="G920" s="4" t="str">
        <f>"08"</f>
        <v>08</v>
      </c>
      <c r="H920" s="5">
        <v>0</v>
      </c>
      <c r="I920" s="3" t="s">
        <v>11</v>
      </c>
    </row>
    <row r="921" customHeight="1" spans="1:9">
      <c r="A921" s="3" t="str">
        <f t="shared" si="88"/>
        <v>0120</v>
      </c>
      <c r="B921" s="3" t="s">
        <v>16</v>
      </c>
      <c r="C921" s="3" t="str">
        <f>"赵子闲"</f>
        <v>赵子闲</v>
      </c>
      <c r="D921" s="3" t="str">
        <f t="shared" si="91"/>
        <v>女</v>
      </c>
      <c r="E921" s="3" t="str">
        <f>"2507013309"</f>
        <v>2507013309</v>
      </c>
      <c r="F921" s="3" t="str">
        <f t="shared" si="92"/>
        <v>33</v>
      </c>
      <c r="G921" s="4" t="str">
        <f>"09"</f>
        <v>09</v>
      </c>
      <c r="H921" s="5">
        <v>59.5</v>
      </c>
      <c r="I921" s="3"/>
    </row>
    <row r="922" customHeight="1" spans="1:9">
      <c r="A922" s="3" t="str">
        <f t="shared" si="88"/>
        <v>0120</v>
      </c>
      <c r="B922" s="3" t="s">
        <v>16</v>
      </c>
      <c r="C922" s="3" t="str">
        <f>"徐子璇"</f>
        <v>徐子璇</v>
      </c>
      <c r="D922" s="3" t="str">
        <f t="shared" si="91"/>
        <v>女</v>
      </c>
      <c r="E922" s="3" t="str">
        <f>"2507013310"</f>
        <v>2507013310</v>
      </c>
      <c r="F922" s="3" t="str">
        <f t="shared" si="92"/>
        <v>33</v>
      </c>
      <c r="G922" s="4" t="str">
        <f>"10"</f>
        <v>10</v>
      </c>
      <c r="H922" s="5">
        <v>0</v>
      </c>
      <c r="I922" s="3" t="s">
        <v>11</v>
      </c>
    </row>
    <row r="923" customHeight="1" spans="1:9">
      <c r="A923" s="3" t="str">
        <f t="shared" si="88"/>
        <v>0120</v>
      </c>
      <c r="B923" s="3" t="s">
        <v>16</v>
      </c>
      <c r="C923" s="3" t="str">
        <f>"吴红"</f>
        <v>吴红</v>
      </c>
      <c r="D923" s="3" t="str">
        <f t="shared" si="91"/>
        <v>女</v>
      </c>
      <c r="E923" s="3" t="str">
        <f>"2507013311"</f>
        <v>2507013311</v>
      </c>
      <c r="F923" s="3" t="str">
        <f t="shared" si="92"/>
        <v>33</v>
      </c>
      <c r="G923" s="4" t="str">
        <f>"11"</f>
        <v>11</v>
      </c>
      <c r="H923" s="5">
        <v>0</v>
      </c>
      <c r="I923" s="3" t="s">
        <v>11</v>
      </c>
    </row>
    <row r="924" customHeight="1" spans="1:9">
      <c r="A924" s="3" t="str">
        <f t="shared" si="88"/>
        <v>0120</v>
      </c>
      <c r="B924" s="3" t="s">
        <v>16</v>
      </c>
      <c r="C924" s="3" t="str">
        <f>"王建宁"</f>
        <v>王建宁</v>
      </c>
      <c r="D924" s="3" t="str">
        <f t="shared" si="91"/>
        <v>女</v>
      </c>
      <c r="E924" s="3" t="str">
        <f>"2507013312"</f>
        <v>2507013312</v>
      </c>
      <c r="F924" s="3" t="str">
        <f t="shared" si="92"/>
        <v>33</v>
      </c>
      <c r="G924" s="4" t="str">
        <f>"12"</f>
        <v>12</v>
      </c>
      <c r="H924" s="5">
        <v>58.3</v>
      </c>
      <c r="I924" s="3"/>
    </row>
    <row r="925" customHeight="1" spans="1:9">
      <c r="A925" s="3" t="str">
        <f t="shared" si="88"/>
        <v>0120</v>
      </c>
      <c r="B925" s="3" t="s">
        <v>16</v>
      </c>
      <c r="C925" s="3" t="str">
        <f>"田云凤"</f>
        <v>田云凤</v>
      </c>
      <c r="D925" s="3" t="str">
        <f t="shared" si="91"/>
        <v>女</v>
      </c>
      <c r="E925" s="3" t="str">
        <f>"2507013313"</f>
        <v>2507013313</v>
      </c>
      <c r="F925" s="3" t="str">
        <f t="shared" si="92"/>
        <v>33</v>
      </c>
      <c r="G925" s="4" t="str">
        <f>"13"</f>
        <v>13</v>
      </c>
      <c r="H925" s="5">
        <v>0</v>
      </c>
      <c r="I925" s="3" t="s">
        <v>11</v>
      </c>
    </row>
    <row r="926" customHeight="1" spans="1:9">
      <c r="A926" s="3" t="str">
        <f t="shared" si="88"/>
        <v>0120</v>
      </c>
      <c r="B926" s="3" t="s">
        <v>16</v>
      </c>
      <c r="C926" s="3" t="str">
        <f>"谷文业"</f>
        <v>谷文业</v>
      </c>
      <c r="D926" s="3" t="str">
        <f t="shared" si="91"/>
        <v>女</v>
      </c>
      <c r="E926" s="3" t="str">
        <f>"2507013314"</f>
        <v>2507013314</v>
      </c>
      <c r="F926" s="3" t="str">
        <f t="shared" si="92"/>
        <v>33</v>
      </c>
      <c r="G926" s="4" t="str">
        <f>"14"</f>
        <v>14</v>
      </c>
      <c r="H926" s="5">
        <v>0</v>
      </c>
      <c r="I926" s="3" t="s">
        <v>11</v>
      </c>
    </row>
    <row r="927" customHeight="1" spans="1:9">
      <c r="A927" s="3" t="str">
        <f t="shared" si="88"/>
        <v>0120</v>
      </c>
      <c r="B927" s="3" t="s">
        <v>16</v>
      </c>
      <c r="C927" s="3" t="str">
        <f>"孙文佳"</f>
        <v>孙文佳</v>
      </c>
      <c r="D927" s="3" t="str">
        <f t="shared" si="91"/>
        <v>女</v>
      </c>
      <c r="E927" s="3" t="str">
        <f>"2507013315"</f>
        <v>2507013315</v>
      </c>
      <c r="F927" s="3" t="str">
        <f t="shared" si="92"/>
        <v>33</v>
      </c>
      <c r="G927" s="4" t="str">
        <f>"15"</f>
        <v>15</v>
      </c>
      <c r="H927" s="5">
        <v>0</v>
      </c>
      <c r="I927" s="3" t="s">
        <v>11</v>
      </c>
    </row>
    <row r="928" customHeight="1" spans="1:9">
      <c r="A928" s="3" t="str">
        <f t="shared" si="88"/>
        <v>0120</v>
      </c>
      <c r="B928" s="3" t="s">
        <v>16</v>
      </c>
      <c r="C928" s="3" t="str">
        <f>"蒋肖颖"</f>
        <v>蒋肖颖</v>
      </c>
      <c r="D928" s="3" t="str">
        <f t="shared" si="91"/>
        <v>女</v>
      </c>
      <c r="E928" s="3" t="str">
        <f>"2507013316"</f>
        <v>2507013316</v>
      </c>
      <c r="F928" s="3" t="str">
        <f t="shared" si="92"/>
        <v>33</v>
      </c>
      <c r="G928" s="4" t="str">
        <f>"16"</f>
        <v>16</v>
      </c>
      <c r="H928" s="5">
        <v>0</v>
      </c>
      <c r="I928" s="3" t="s">
        <v>11</v>
      </c>
    </row>
    <row r="929" customHeight="1" spans="1:9">
      <c r="A929" s="3" t="str">
        <f t="shared" si="88"/>
        <v>0120</v>
      </c>
      <c r="B929" s="3" t="s">
        <v>16</v>
      </c>
      <c r="C929" s="3" t="str">
        <f>"郭芳芳"</f>
        <v>郭芳芳</v>
      </c>
      <c r="D929" s="3" t="str">
        <f t="shared" si="91"/>
        <v>女</v>
      </c>
      <c r="E929" s="3" t="str">
        <f>"2507013317"</f>
        <v>2507013317</v>
      </c>
      <c r="F929" s="3" t="str">
        <f t="shared" si="92"/>
        <v>33</v>
      </c>
      <c r="G929" s="4" t="str">
        <f>"17"</f>
        <v>17</v>
      </c>
      <c r="H929" s="5">
        <v>68.5</v>
      </c>
      <c r="I929" s="3"/>
    </row>
    <row r="930" customHeight="1" spans="1:9">
      <c r="A930" s="3" t="str">
        <f t="shared" si="88"/>
        <v>0120</v>
      </c>
      <c r="B930" s="3" t="s">
        <v>16</v>
      </c>
      <c r="C930" s="3" t="str">
        <f>"张景"</f>
        <v>张景</v>
      </c>
      <c r="D930" s="3" t="str">
        <f t="shared" si="91"/>
        <v>女</v>
      </c>
      <c r="E930" s="3" t="str">
        <f>"2507013318"</f>
        <v>2507013318</v>
      </c>
      <c r="F930" s="3" t="str">
        <f t="shared" si="92"/>
        <v>33</v>
      </c>
      <c r="G930" s="4" t="str">
        <f>"18"</f>
        <v>18</v>
      </c>
      <c r="H930" s="5">
        <v>54.5</v>
      </c>
      <c r="I930" s="3"/>
    </row>
    <row r="931" customHeight="1" spans="1:9">
      <c r="A931" s="3" t="str">
        <f t="shared" si="88"/>
        <v>0120</v>
      </c>
      <c r="B931" s="3" t="s">
        <v>16</v>
      </c>
      <c r="C931" s="3" t="str">
        <f>"魏薇"</f>
        <v>魏薇</v>
      </c>
      <c r="D931" s="3" t="str">
        <f t="shared" si="91"/>
        <v>女</v>
      </c>
      <c r="E931" s="3" t="str">
        <f>"2507013319"</f>
        <v>2507013319</v>
      </c>
      <c r="F931" s="3" t="str">
        <f t="shared" si="92"/>
        <v>33</v>
      </c>
      <c r="G931" s="4" t="str">
        <f>"19"</f>
        <v>19</v>
      </c>
      <c r="H931" s="5">
        <v>0</v>
      </c>
      <c r="I931" s="3" t="s">
        <v>11</v>
      </c>
    </row>
    <row r="932" customHeight="1" spans="1:9">
      <c r="A932" s="3" t="str">
        <f t="shared" si="88"/>
        <v>0120</v>
      </c>
      <c r="B932" s="3" t="s">
        <v>16</v>
      </c>
      <c r="C932" s="3" t="str">
        <f>"陈俊晔"</f>
        <v>陈俊晔</v>
      </c>
      <c r="D932" s="3" t="str">
        <f>"男"</f>
        <v>男</v>
      </c>
      <c r="E932" s="3" t="str">
        <f>"2507013320"</f>
        <v>2507013320</v>
      </c>
      <c r="F932" s="3" t="str">
        <f t="shared" si="92"/>
        <v>33</v>
      </c>
      <c r="G932" s="4" t="str">
        <f>"20"</f>
        <v>20</v>
      </c>
      <c r="H932" s="5">
        <v>0</v>
      </c>
      <c r="I932" s="3" t="s">
        <v>11</v>
      </c>
    </row>
    <row r="933" customHeight="1" spans="1:9">
      <c r="A933" s="3" t="str">
        <f t="shared" si="88"/>
        <v>0120</v>
      </c>
      <c r="B933" s="3" t="s">
        <v>16</v>
      </c>
      <c r="C933" s="3" t="str">
        <f>"李景慧"</f>
        <v>李景慧</v>
      </c>
      <c r="D933" s="3" t="str">
        <f t="shared" ref="D933:D947" si="93">"女"</f>
        <v>女</v>
      </c>
      <c r="E933" s="3" t="str">
        <f>"2507013321"</f>
        <v>2507013321</v>
      </c>
      <c r="F933" s="3" t="str">
        <f t="shared" si="92"/>
        <v>33</v>
      </c>
      <c r="G933" s="4" t="str">
        <f>"21"</f>
        <v>21</v>
      </c>
      <c r="H933" s="5">
        <v>0</v>
      </c>
      <c r="I933" s="3" t="s">
        <v>11</v>
      </c>
    </row>
    <row r="934" customHeight="1" spans="1:9">
      <c r="A934" s="3" t="str">
        <f t="shared" si="88"/>
        <v>0120</v>
      </c>
      <c r="B934" s="3" t="s">
        <v>16</v>
      </c>
      <c r="C934" s="3" t="str">
        <f>"刘奕轩"</f>
        <v>刘奕轩</v>
      </c>
      <c r="D934" s="3" t="str">
        <f t="shared" si="93"/>
        <v>女</v>
      </c>
      <c r="E934" s="3" t="str">
        <f>"2507013322"</f>
        <v>2507013322</v>
      </c>
      <c r="F934" s="3" t="str">
        <f t="shared" si="92"/>
        <v>33</v>
      </c>
      <c r="G934" s="4" t="str">
        <f>"22"</f>
        <v>22</v>
      </c>
      <c r="H934" s="5">
        <v>64.5</v>
      </c>
      <c r="I934" s="3"/>
    </row>
    <row r="935" customHeight="1" spans="1:9">
      <c r="A935" s="3" t="str">
        <f t="shared" si="88"/>
        <v>0120</v>
      </c>
      <c r="B935" s="3" t="s">
        <v>16</v>
      </c>
      <c r="C935" s="3" t="str">
        <f>"孙兴乡"</f>
        <v>孙兴乡</v>
      </c>
      <c r="D935" s="3" t="str">
        <f t="shared" si="93"/>
        <v>女</v>
      </c>
      <c r="E935" s="3" t="str">
        <f>"2507013323"</f>
        <v>2507013323</v>
      </c>
      <c r="F935" s="3" t="str">
        <f t="shared" si="92"/>
        <v>33</v>
      </c>
      <c r="G935" s="4" t="str">
        <f>"23"</f>
        <v>23</v>
      </c>
      <c r="H935" s="5">
        <v>52.5</v>
      </c>
      <c r="I935" s="3"/>
    </row>
    <row r="936" customHeight="1" spans="1:9">
      <c r="A936" s="3" t="str">
        <f t="shared" si="88"/>
        <v>0120</v>
      </c>
      <c r="B936" s="3" t="s">
        <v>16</v>
      </c>
      <c r="C936" s="3" t="str">
        <f>"逯婧"</f>
        <v>逯婧</v>
      </c>
      <c r="D936" s="3" t="str">
        <f t="shared" si="93"/>
        <v>女</v>
      </c>
      <c r="E936" s="3" t="str">
        <f>"2507013324"</f>
        <v>2507013324</v>
      </c>
      <c r="F936" s="3" t="str">
        <f t="shared" si="92"/>
        <v>33</v>
      </c>
      <c r="G936" s="4" t="str">
        <f>"24"</f>
        <v>24</v>
      </c>
      <c r="H936" s="5">
        <v>0</v>
      </c>
      <c r="I936" s="3" t="s">
        <v>11</v>
      </c>
    </row>
    <row r="937" customHeight="1" spans="1:9">
      <c r="A937" s="3" t="str">
        <f t="shared" si="88"/>
        <v>0120</v>
      </c>
      <c r="B937" s="3" t="s">
        <v>16</v>
      </c>
      <c r="C937" s="3" t="str">
        <f>"王馨妍"</f>
        <v>王馨妍</v>
      </c>
      <c r="D937" s="3" t="str">
        <f t="shared" si="93"/>
        <v>女</v>
      </c>
      <c r="E937" s="3" t="str">
        <f>"2507013325"</f>
        <v>2507013325</v>
      </c>
      <c r="F937" s="3" t="str">
        <f t="shared" si="92"/>
        <v>33</v>
      </c>
      <c r="G937" s="4" t="str">
        <f>"25"</f>
        <v>25</v>
      </c>
      <c r="H937" s="5">
        <v>55.9</v>
      </c>
      <c r="I937" s="3"/>
    </row>
    <row r="938" customHeight="1" spans="1:9">
      <c r="A938" s="3" t="str">
        <f t="shared" si="88"/>
        <v>0120</v>
      </c>
      <c r="B938" s="3" t="s">
        <v>16</v>
      </c>
      <c r="C938" s="3" t="str">
        <f>"李雨嫣"</f>
        <v>李雨嫣</v>
      </c>
      <c r="D938" s="3" t="str">
        <f t="shared" si="93"/>
        <v>女</v>
      </c>
      <c r="E938" s="3" t="str">
        <f>"2507013326"</f>
        <v>2507013326</v>
      </c>
      <c r="F938" s="3" t="str">
        <f t="shared" si="92"/>
        <v>33</v>
      </c>
      <c r="G938" s="4" t="str">
        <f>"26"</f>
        <v>26</v>
      </c>
      <c r="H938" s="5">
        <v>0</v>
      </c>
      <c r="I938" s="3" t="s">
        <v>11</v>
      </c>
    </row>
    <row r="939" customHeight="1" spans="1:9">
      <c r="A939" s="3" t="str">
        <f t="shared" si="88"/>
        <v>0120</v>
      </c>
      <c r="B939" s="3" t="s">
        <v>16</v>
      </c>
      <c r="C939" s="3" t="str">
        <f>"葛廷芳"</f>
        <v>葛廷芳</v>
      </c>
      <c r="D939" s="3" t="str">
        <f t="shared" si="93"/>
        <v>女</v>
      </c>
      <c r="E939" s="3" t="str">
        <f>"2507013327"</f>
        <v>2507013327</v>
      </c>
      <c r="F939" s="3" t="str">
        <f t="shared" si="92"/>
        <v>33</v>
      </c>
      <c r="G939" s="4" t="str">
        <f>"27"</f>
        <v>27</v>
      </c>
      <c r="H939" s="5">
        <v>0</v>
      </c>
      <c r="I939" s="3" t="s">
        <v>11</v>
      </c>
    </row>
    <row r="940" customHeight="1" spans="1:9">
      <c r="A940" s="3" t="str">
        <f t="shared" si="88"/>
        <v>0120</v>
      </c>
      <c r="B940" s="3" t="s">
        <v>16</v>
      </c>
      <c r="C940" s="3" t="str">
        <f>"高令令"</f>
        <v>高令令</v>
      </c>
      <c r="D940" s="3" t="str">
        <f t="shared" si="93"/>
        <v>女</v>
      </c>
      <c r="E940" s="3" t="str">
        <f>"2507013328"</f>
        <v>2507013328</v>
      </c>
      <c r="F940" s="3" t="str">
        <f t="shared" si="92"/>
        <v>33</v>
      </c>
      <c r="G940" s="4" t="str">
        <f>"28"</f>
        <v>28</v>
      </c>
      <c r="H940" s="5">
        <v>66</v>
      </c>
      <c r="I940" s="3"/>
    </row>
    <row r="941" customHeight="1" spans="1:9">
      <c r="A941" s="3" t="str">
        <f t="shared" si="88"/>
        <v>0120</v>
      </c>
      <c r="B941" s="3" t="s">
        <v>16</v>
      </c>
      <c r="C941" s="3" t="str">
        <f>"王腾"</f>
        <v>王腾</v>
      </c>
      <c r="D941" s="3" t="str">
        <f t="shared" si="93"/>
        <v>女</v>
      </c>
      <c r="E941" s="3" t="str">
        <f>"2507013329"</f>
        <v>2507013329</v>
      </c>
      <c r="F941" s="3" t="str">
        <f t="shared" si="92"/>
        <v>33</v>
      </c>
      <c r="G941" s="4" t="str">
        <f>"29"</f>
        <v>29</v>
      </c>
      <c r="H941" s="5">
        <v>64.4</v>
      </c>
      <c r="I941" s="3"/>
    </row>
    <row r="942" customHeight="1" spans="1:9">
      <c r="A942" s="3" t="str">
        <f t="shared" si="88"/>
        <v>0120</v>
      </c>
      <c r="B942" s="3" t="s">
        <v>16</v>
      </c>
      <c r="C942" s="3" t="str">
        <f>"肖冰睿"</f>
        <v>肖冰睿</v>
      </c>
      <c r="D942" s="3" t="str">
        <f t="shared" si="93"/>
        <v>女</v>
      </c>
      <c r="E942" s="3" t="str">
        <f>"2507013330"</f>
        <v>2507013330</v>
      </c>
      <c r="F942" s="3" t="str">
        <f t="shared" si="92"/>
        <v>33</v>
      </c>
      <c r="G942" s="4" t="str">
        <f>"30"</f>
        <v>30</v>
      </c>
      <c r="H942" s="5">
        <v>56.7</v>
      </c>
      <c r="I942" s="3"/>
    </row>
    <row r="943" customHeight="1" spans="1:9">
      <c r="A943" s="3" t="str">
        <f t="shared" si="88"/>
        <v>0120</v>
      </c>
      <c r="B943" s="3" t="s">
        <v>16</v>
      </c>
      <c r="C943" s="3" t="str">
        <f>"尹梦瑶"</f>
        <v>尹梦瑶</v>
      </c>
      <c r="D943" s="3" t="str">
        <f t="shared" si="93"/>
        <v>女</v>
      </c>
      <c r="E943" s="3" t="str">
        <f>"2507013401"</f>
        <v>2507013401</v>
      </c>
      <c r="F943" s="3" t="str">
        <f t="shared" ref="F943:F972" si="94">"34"</f>
        <v>34</v>
      </c>
      <c r="G943" s="4" t="str">
        <f>"01"</f>
        <v>01</v>
      </c>
      <c r="H943" s="5">
        <v>0</v>
      </c>
      <c r="I943" s="3" t="s">
        <v>11</v>
      </c>
    </row>
    <row r="944" customHeight="1" spans="1:9">
      <c r="A944" s="3" t="str">
        <f t="shared" si="88"/>
        <v>0120</v>
      </c>
      <c r="B944" s="3" t="s">
        <v>16</v>
      </c>
      <c r="C944" s="3" t="str">
        <f>"石柯"</f>
        <v>石柯</v>
      </c>
      <c r="D944" s="3" t="str">
        <f t="shared" si="93"/>
        <v>女</v>
      </c>
      <c r="E944" s="3" t="str">
        <f>"2507013402"</f>
        <v>2507013402</v>
      </c>
      <c r="F944" s="3" t="str">
        <f t="shared" si="94"/>
        <v>34</v>
      </c>
      <c r="G944" s="4" t="str">
        <f>"02"</f>
        <v>02</v>
      </c>
      <c r="H944" s="5">
        <v>0</v>
      </c>
      <c r="I944" s="3" t="s">
        <v>11</v>
      </c>
    </row>
    <row r="945" customHeight="1" spans="1:9">
      <c r="A945" s="3" t="str">
        <f t="shared" si="88"/>
        <v>0120</v>
      </c>
      <c r="B945" s="3" t="s">
        <v>16</v>
      </c>
      <c r="C945" s="3" t="str">
        <f>"郭晗"</f>
        <v>郭晗</v>
      </c>
      <c r="D945" s="3" t="str">
        <f t="shared" si="93"/>
        <v>女</v>
      </c>
      <c r="E945" s="3" t="str">
        <f>"2507013403"</f>
        <v>2507013403</v>
      </c>
      <c r="F945" s="3" t="str">
        <f t="shared" si="94"/>
        <v>34</v>
      </c>
      <c r="G945" s="4" t="str">
        <f>"03"</f>
        <v>03</v>
      </c>
      <c r="H945" s="5">
        <v>61.2</v>
      </c>
      <c r="I945" s="3"/>
    </row>
    <row r="946" customHeight="1" spans="1:9">
      <c r="A946" s="3" t="str">
        <f t="shared" si="88"/>
        <v>0120</v>
      </c>
      <c r="B946" s="3" t="s">
        <v>16</v>
      </c>
      <c r="C946" s="3" t="str">
        <f>"王雅琪"</f>
        <v>王雅琪</v>
      </c>
      <c r="D946" s="3" t="str">
        <f t="shared" si="93"/>
        <v>女</v>
      </c>
      <c r="E946" s="3" t="str">
        <f>"2507013404"</f>
        <v>2507013404</v>
      </c>
      <c r="F946" s="3" t="str">
        <f t="shared" si="94"/>
        <v>34</v>
      </c>
      <c r="G946" s="4" t="str">
        <f>"04"</f>
        <v>04</v>
      </c>
      <c r="H946" s="5">
        <v>51</v>
      </c>
      <c r="I946" s="3"/>
    </row>
    <row r="947" customHeight="1" spans="1:9">
      <c r="A947" s="3" t="str">
        <f t="shared" ref="A947:A1010" si="95">"0120"</f>
        <v>0120</v>
      </c>
      <c r="B947" s="3" t="s">
        <v>16</v>
      </c>
      <c r="C947" s="3" t="str">
        <f>"郑娜娜"</f>
        <v>郑娜娜</v>
      </c>
      <c r="D947" s="3" t="str">
        <f t="shared" si="93"/>
        <v>女</v>
      </c>
      <c r="E947" s="3" t="str">
        <f>"2507013405"</f>
        <v>2507013405</v>
      </c>
      <c r="F947" s="3" t="str">
        <f t="shared" si="94"/>
        <v>34</v>
      </c>
      <c r="G947" s="4" t="str">
        <f>"05"</f>
        <v>05</v>
      </c>
      <c r="H947" s="5">
        <v>0</v>
      </c>
      <c r="I947" s="3" t="s">
        <v>11</v>
      </c>
    </row>
    <row r="948" customHeight="1" spans="1:9">
      <c r="A948" s="3" t="str">
        <f t="shared" si="95"/>
        <v>0120</v>
      </c>
      <c r="B948" s="3" t="s">
        <v>16</v>
      </c>
      <c r="C948" s="3" t="str">
        <f>"张家奇"</f>
        <v>张家奇</v>
      </c>
      <c r="D948" s="3" t="str">
        <f>"男"</f>
        <v>男</v>
      </c>
      <c r="E948" s="3" t="str">
        <f>"2507013406"</f>
        <v>2507013406</v>
      </c>
      <c r="F948" s="3" t="str">
        <f t="shared" si="94"/>
        <v>34</v>
      </c>
      <c r="G948" s="4" t="str">
        <f>"06"</f>
        <v>06</v>
      </c>
      <c r="H948" s="5">
        <v>60.7</v>
      </c>
      <c r="I948" s="3"/>
    </row>
    <row r="949" customHeight="1" spans="1:9">
      <c r="A949" s="3" t="str">
        <f t="shared" si="95"/>
        <v>0120</v>
      </c>
      <c r="B949" s="3" t="s">
        <v>16</v>
      </c>
      <c r="C949" s="3" t="str">
        <f>"孔笑笑"</f>
        <v>孔笑笑</v>
      </c>
      <c r="D949" s="3" t="str">
        <f>"女"</f>
        <v>女</v>
      </c>
      <c r="E949" s="3" t="str">
        <f>"2507013407"</f>
        <v>2507013407</v>
      </c>
      <c r="F949" s="3" t="str">
        <f t="shared" si="94"/>
        <v>34</v>
      </c>
      <c r="G949" s="4" t="str">
        <f>"07"</f>
        <v>07</v>
      </c>
      <c r="H949" s="5">
        <v>57.3</v>
      </c>
      <c r="I949" s="3"/>
    </row>
    <row r="950" customHeight="1" spans="1:9">
      <c r="A950" s="3" t="str">
        <f t="shared" si="95"/>
        <v>0120</v>
      </c>
      <c r="B950" s="3" t="s">
        <v>16</v>
      </c>
      <c r="C950" s="3" t="str">
        <f>"王刘迁"</f>
        <v>王刘迁</v>
      </c>
      <c r="D950" s="3" t="str">
        <f>"男"</f>
        <v>男</v>
      </c>
      <c r="E950" s="3" t="str">
        <f>"2507013408"</f>
        <v>2507013408</v>
      </c>
      <c r="F950" s="3" t="str">
        <f t="shared" si="94"/>
        <v>34</v>
      </c>
      <c r="G950" s="4" t="str">
        <f>"08"</f>
        <v>08</v>
      </c>
      <c r="H950" s="5">
        <v>65.3</v>
      </c>
      <c r="I950" s="3"/>
    </row>
    <row r="951" customHeight="1" spans="1:9">
      <c r="A951" s="3" t="str">
        <f t="shared" si="95"/>
        <v>0120</v>
      </c>
      <c r="B951" s="3" t="s">
        <v>16</v>
      </c>
      <c r="C951" s="3" t="str">
        <f>"许娜"</f>
        <v>许娜</v>
      </c>
      <c r="D951" s="3" t="str">
        <f>"女"</f>
        <v>女</v>
      </c>
      <c r="E951" s="3" t="str">
        <f>"2507013409"</f>
        <v>2507013409</v>
      </c>
      <c r="F951" s="3" t="str">
        <f t="shared" si="94"/>
        <v>34</v>
      </c>
      <c r="G951" s="4" t="str">
        <f>"09"</f>
        <v>09</v>
      </c>
      <c r="H951" s="5">
        <v>59.6</v>
      </c>
      <c r="I951" s="3"/>
    </row>
    <row r="952" customHeight="1" spans="1:9">
      <c r="A952" s="3" t="str">
        <f t="shared" si="95"/>
        <v>0120</v>
      </c>
      <c r="B952" s="3" t="s">
        <v>16</v>
      </c>
      <c r="C952" s="3" t="str">
        <f>"刘天翼"</f>
        <v>刘天翼</v>
      </c>
      <c r="D952" s="3" t="str">
        <f>"男"</f>
        <v>男</v>
      </c>
      <c r="E952" s="3" t="str">
        <f>"2507013410"</f>
        <v>2507013410</v>
      </c>
      <c r="F952" s="3" t="str">
        <f t="shared" si="94"/>
        <v>34</v>
      </c>
      <c r="G952" s="4" t="str">
        <f>"10"</f>
        <v>10</v>
      </c>
      <c r="H952" s="5">
        <v>45.4</v>
      </c>
      <c r="I952" s="3"/>
    </row>
    <row r="953" customHeight="1" spans="1:9">
      <c r="A953" s="3" t="str">
        <f t="shared" si="95"/>
        <v>0120</v>
      </c>
      <c r="B953" s="3" t="s">
        <v>16</v>
      </c>
      <c r="C953" s="3" t="str">
        <f>"王静静"</f>
        <v>王静静</v>
      </c>
      <c r="D953" s="3" t="str">
        <f>"女"</f>
        <v>女</v>
      </c>
      <c r="E953" s="3" t="str">
        <f>"2507013411"</f>
        <v>2507013411</v>
      </c>
      <c r="F953" s="3" t="str">
        <f t="shared" si="94"/>
        <v>34</v>
      </c>
      <c r="G953" s="4" t="str">
        <f>"11"</f>
        <v>11</v>
      </c>
      <c r="H953" s="5">
        <v>60.7</v>
      </c>
      <c r="I953" s="3"/>
    </row>
    <row r="954" customHeight="1" spans="1:9">
      <c r="A954" s="3" t="str">
        <f t="shared" si="95"/>
        <v>0120</v>
      </c>
      <c r="B954" s="3" t="s">
        <v>16</v>
      </c>
      <c r="C954" s="3" t="str">
        <f>"徐铭"</f>
        <v>徐铭</v>
      </c>
      <c r="D954" s="3" t="str">
        <f>"女"</f>
        <v>女</v>
      </c>
      <c r="E954" s="3" t="str">
        <f>"2507013412"</f>
        <v>2507013412</v>
      </c>
      <c r="F954" s="3" t="str">
        <f t="shared" si="94"/>
        <v>34</v>
      </c>
      <c r="G954" s="4" t="str">
        <f>"12"</f>
        <v>12</v>
      </c>
      <c r="H954" s="5">
        <v>0</v>
      </c>
      <c r="I954" s="3" t="s">
        <v>11</v>
      </c>
    </row>
    <row r="955" customHeight="1" spans="1:9">
      <c r="A955" s="3" t="str">
        <f t="shared" si="95"/>
        <v>0120</v>
      </c>
      <c r="B955" s="3" t="s">
        <v>16</v>
      </c>
      <c r="C955" s="3" t="str">
        <f>"杨敏"</f>
        <v>杨敏</v>
      </c>
      <c r="D955" s="3" t="str">
        <f>"女"</f>
        <v>女</v>
      </c>
      <c r="E955" s="3" t="str">
        <f>"2507013413"</f>
        <v>2507013413</v>
      </c>
      <c r="F955" s="3" t="str">
        <f t="shared" si="94"/>
        <v>34</v>
      </c>
      <c r="G955" s="4" t="str">
        <f>"13"</f>
        <v>13</v>
      </c>
      <c r="H955" s="5">
        <v>59.9</v>
      </c>
      <c r="I955" s="3"/>
    </row>
    <row r="956" customHeight="1" spans="1:9">
      <c r="A956" s="3" t="str">
        <f t="shared" si="95"/>
        <v>0120</v>
      </c>
      <c r="B956" s="3" t="s">
        <v>16</v>
      </c>
      <c r="C956" s="3" t="str">
        <f>"陈庚"</f>
        <v>陈庚</v>
      </c>
      <c r="D956" s="3" t="str">
        <f>"男"</f>
        <v>男</v>
      </c>
      <c r="E956" s="3" t="str">
        <f>"2507013414"</f>
        <v>2507013414</v>
      </c>
      <c r="F956" s="3" t="str">
        <f t="shared" si="94"/>
        <v>34</v>
      </c>
      <c r="G956" s="4" t="str">
        <f>"14"</f>
        <v>14</v>
      </c>
      <c r="H956" s="5">
        <v>0</v>
      </c>
      <c r="I956" s="3" t="s">
        <v>11</v>
      </c>
    </row>
    <row r="957" customHeight="1" spans="1:9">
      <c r="A957" s="3" t="str">
        <f t="shared" si="95"/>
        <v>0120</v>
      </c>
      <c r="B957" s="3" t="s">
        <v>16</v>
      </c>
      <c r="C957" s="3" t="str">
        <f>"夏琳"</f>
        <v>夏琳</v>
      </c>
      <c r="D957" s="3" t="str">
        <f t="shared" ref="D957:D967" si="96">"女"</f>
        <v>女</v>
      </c>
      <c r="E957" s="3" t="str">
        <f>"2507013415"</f>
        <v>2507013415</v>
      </c>
      <c r="F957" s="3" t="str">
        <f t="shared" si="94"/>
        <v>34</v>
      </c>
      <c r="G957" s="4" t="str">
        <f>"15"</f>
        <v>15</v>
      </c>
      <c r="H957" s="5">
        <v>0</v>
      </c>
      <c r="I957" s="3" t="s">
        <v>11</v>
      </c>
    </row>
    <row r="958" customHeight="1" spans="1:9">
      <c r="A958" s="3" t="str">
        <f t="shared" si="95"/>
        <v>0120</v>
      </c>
      <c r="B958" s="3" t="s">
        <v>16</v>
      </c>
      <c r="C958" s="3" t="str">
        <f>"孙淼"</f>
        <v>孙淼</v>
      </c>
      <c r="D958" s="3" t="str">
        <f t="shared" si="96"/>
        <v>女</v>
      </c>
      <c r="E958" s="3" t="str">
        <f>"2507013416"</f>
        <v>2507013416</v>
      </c>
      <c r="F958" s="3" t="str">
        <f t="shared" si="94"/>
        <v>34</v>
      </c>
      <c r="G958" s="4" t="str">
        <f>"16"</f>
        <v>16</v>
      </c>
      <c r="H958" s="5">
        <v>53.3</v>
      </c>
      <c r="I958" s="3"/>
    </row>
    <row r="959" customHeight="1" spans="1:9">
      <c r="A959" s="3" t="str">
        <f t="shared" si="95"/>
        <v>0120</v>
      </c>
      <c r="B959" s="3" t="s">
        <v>16</v>
      </c>
      <c r="C959" s="3" t="str">
        <f>"吴思齐"</f>
        <v>吴思齐</v>
      </c>
      <c r="D959" s="3" t="str">
        <f t="shared" si="96"/>
        <v>女</v>
      </c>
      <c r="E959" s="3" t="str">
        <f>"2507013417"</f>
        <v>2507013417</v>
      </c>
      <c r="F959" s="3" t="str">
        <f t="shared" si="94"/>
        <v>34</v>
      </c>
      <c r="G959" s="4" t="str">
        <f>"17"</f>
        <v>17</v>
      </c>
      <c r="H959" s="5">
        <v>61.5</v>
      </c>
      <c r="I959" s="3"/>
    </row>
    <row r="960" customHeight="1" spans="1:9">
      <c r="A960" s="3" t="str">
        <f t="shared" si="95"/>
        <v>0120</v>
      </c>
      <c r="B960" s="3" t="s">
        <v>16</v>
      </c>
      <c r="C960" s="3" t="str">
        <f>"周越"</f>
        <v>周越</v>
      </c>
      <c r="D960" s="3" t="str">
        <f t="shared" si="96"/>
        <v>女</v>
      </c>
      <c r="E960" s="3" t="str">
        <f>"2507013418"</f>
        <v>2507013418</v>
      </c>
      <c r="F960" s="3" t="str">
        <f t="shared" si="94"/>
        <v>34</v>
      </c>
      <c r="G960" s="4" t="str">
        <f>"18"</f>
        <v>18</v>
      </c>
      <c r="H960" s="5">
        <v>0</v>
      </c>
      <c r="I960" s="3" t="s">
        <v>11</v>
      </c>
    </row>
    <row r="961" customHeight="1" spans="1:9">
      <c r="A961" s="3" t="str">
        <f t="shared" si="95"/>
        <v>0120</v>
      </c>
      <c r="B961" s="3" t="s">
        <v>16</v>
      </c>
      <c r="C961" s="3" t="str">
        <f>"白雨晴"</f>
        <v>白雨晴</v>
      </c>
      <c r="D961" s="3" t="str">
        <f t="shared" si="96"/>
        <v>女</v>
      </c>
      <c r="E961" s="3" t="str">
        <f>"2507013419"</f>
        <v>2507013419</v>
      </c>
      <c r="F961" s="3" t="str">
        <f t="shared" si="94"/>
        <v>34</v>
      </c>
      <c r="G961" s="4" t="str">
        <f>"19"</f>
        <v>19</v>
      </c>
      <c r="H961" s="5">
        <v>57.8</v>
      </c>
      <c r="I961" s="3"/>
    </row>
    <row r="962" customHeight="1" spans="1:9">
      <c r="A962" s="3" t="str">
        <f t="shared" si="95"/>
        <v>0120</v>
      </c>
      <c r="B962" s="3" t="s">
        <v>16</v>
      </c>
      <c r="C962" s="3" t="str">
        <f>"欧崇欣"</f>
        <v>欧崇欣</v>
      </c>
      <c r="D962" s="3" t="str">
        <f t="shared" si="96"/>
        <v>女</v>
      </c>
      <c r="E962" s="3" t="str">
        <f>"2507013420"</f>
        <v>2507013420</v>
      </c>
      <c r="F962" s="3" t="str">
        <f t="shared" si="94"/>
        <v>34</v>
      </c>
      <c r="G962" s="4" t="str">
        <f>"20"</f>
        <v>20</v>
      </c>
      <c r="H962" s="5">
        <v>0</v>
      </c>
      <c r="I962" s="3" t="s">
        <v>11</v>
      </c>
    </row>
    <row r="963" customHeight="1" spans="1:9">
      <c r="A963" s="3" t="str">
        <f t="shared" si="95"/>
        <v>0120</v>
      </c>
      <c r="B963" s="3" t="s">
        <v>16</v>
      </c>
      <c r="C963" s="3" t="str">
        <f>"张茜"</f>
        <v>张茜</v>
      </c>
      <c r="D963" s="3" t="str">
        <f t="shared" si="96"/>
        <v>女</v>
      </c>
      <c r="E963" s="3" t="str">
        <f>"2507013421"</f>
        <v>2507013421</v>
      </c>
      <c r="F963" s="3" t="str">
        <f t="shared" si="94"/>
        <v>34</v>
      </c>
      <c r="G963" s="4" t="str">
        <f>"21"</f>
        <v>21</v>
      </c>
      <c r="H963" s="5">
        <v>61.3</v>
      </c>
      <c r="I963" s="3"/>
    </row>
    <row r="964" customHeight="1" spans="1:9">
      <c r="A964" s="3" t="str">
        <f t="shared" si="95"/>
        <v>0120</v>
      </c>
      <c r="B964" s="3" t="s">
        <v>16</v>
      </c>
      <c r="C964" s="3" t="str">
        <f>"徐子婧"</f>
        <v>徐子婧</v>
      </c>
      <c r="D964" s="3" t="str">
        <f t="shared" si="96"/>
        <v>女</v>
      </c>
      <c r="E964" s="3" t="str">
        <f>"2507013422"</f>
        <v>2507013422</v>
      </c>
      <c r="F964" s="3" t="str">
        <f t="shared" si="94"/>
        <v>34</v>
      </c>
      <c r="G964" s="4" t="str">
        <f>"22"</f>
        <v>22</v>
      </c>
      <c r="H964" s="5">
        <v>62.2</v>
      </c>
      <c r="I964" s="3"/>
    </row>
    <row r="965" customHeight="1" spans="1:9">
      <c r="A965" s="3" t="str">
        <f t="shared" si="95"/>
        <v>0120</v>
      </c>
      <c r="B965" s="3" t="s">
        <v>16</v>
      </c>
      <c r="C965" s="3" t="str">
        <f>"刘畅"</f>
        <v>刘畅</v>
      </c>
      <c r="D965" s="3" t="str">
        <f t="shared" si="96"/>
        <v>女</v>
      </c>
      <c r="E965" s="3" t="str">
        <f>"2507013423"</f>
        <v>2507013423</v>
      </c>
      <c r="F965" s="3" t="str">
        <f t="shared" si="94"/>
        <v>34</v>
      </c>
      <c r="G965" s="4" t="str">
        <f>"23"</f>
        <v>23</v>
      </c>
      <c r="H965" s="5">
        <v>61</v>
      </c>
      <c r="I965" s="3"/>
    </row>
    <row r="966" customHeight="1" spans="1:9">
      <c r="A966" s="3" t="str">
        <f t="shared" si="95"/>
        <v>0120</v>
      </c>
      <c r="B966" s="3" t="s">
        <v>16</v>
      </c>
      <c r="C966" s="3" t="str">
        <f>"盛雨晴"</f>
        <v>盛雨晴</v>
      </c>
      <c r="D966" s="3" t="str">
        <f t="shared" si="96"/>
        <v>女</v>
      </c>
      <c r="E966" s="3" t="str">
        <f>"2507013424"</f>
        <v>2507013424</v>
      </c>
      <c r="F966" s="3" t="str">
        <f t="shared" si="94"/>
        <v>34</v>
      </c>
      <c r="G966" s="4" t="str">
        <f>"24"</f>
        <v>24</v>
      </c>
      <c r="H966" s="5">
        <v>61.6</v>
      </c>
      <c r="I966" s="3"/>
    </row>
    <row r="967" customHeight="1" spans="1:9">
      <c r="A967" s="3" t="str">
        <f t="shared" si="95"/>
        <v>0120</v>
      </c>
      <c r="B967" s="3" t="s">
        <v>16</v>
      </c>
      <c r="C967" s="3" t="str">
        <f>"贺成卉"</f>
        <v>贺成卉</v>
      </c>
      <c r="D967" s="3" t="str">
        <f t="shared" si="96"/>
        <v>女</v>
      </c>
      <c r="E967" s="3" t="str">
        <f>"2507013425"</f>
        <v>2507013425</v>
      </c>
      <c r="F967" s="3" t="str">
        <f t="shared" si="94"/>
        <v>34</v>
      </c>
      <c r="G967" s="4" t="str">
        <f>"25"</f>
        <v>25</v>
      </c>
      <c r="H967" s="5">
        <v>0</v>
      </c>
      <c r="I967" s="3" t="s">
        <v>11</v>
      </c>
    </row>
    <row r="968" customHeight="1" spans="1:9">
      <c r="A968" s="3" t="str">
        <f t="shared" si="95"/>
        <v>0120</v>
      </c>
      <c r="B968" s="3" t="s">
        <v>16</v>
      </c>
      <c r="C968" s="3" t="str">
        <f>"严浩宇"</f>
        <v>严浩宇</v>
      </c>
      <c r="D968" s="3" t="str">
        <f>"男"</f>
        <v>男</v>
      </c>
      <c r="E968" s="3" t="str">
        <f>"2507013426"</f>
        <v>2507013426</v>
      </c>
      <c r="F968" s="3" t="str">
        <f t="shared" si="94"/>
        <v>34</v>
      </c>
      <c r="G968" s="4" t="str">
        <f>"26"</f>
        <v>26</v>
      </c>
      <c r="H968" s="5">
        <v>60.6</v>
      </c>
      <c r="I968" s="3"/>
    </row>
    <row r="969" customHeight="1" spans="1:9">
      <c r="A969" s="3" t="str">
        <f t="shared" si="95"/>
        <v>0120</v>
      </c>
      <c r="B969" s="3" t="s">
        <v>16</v>
      </c>
      <c r="C969" s="3" t="str">
        <f>"宋玉珠"</f>
        <v>宋玉珠</v>
      </c>
      <c r="D969" s="3" t="str">
        <f t="shared" ref="D969:D977" si="97">"女"</f>
        <v>女</v>
      </c>
      <c r="E969" s="3" t="str">
        <f>"2507013427"</f>
        <v>2507013427</v>
      </c>
      <c r="F969" s="3" t="str">
        <f t="shared" si="94"/>
        <v>34</v>
      </c>
      <c r="G969" s="4" t="str">
        <f>"27"</f>
        <v>27</v>
      </c>
      <c r="H969" s="5">
        <v>52.6</v>
      </c>
      <c r="I969" s="3"/>
    </row>
    <row r="970" customHeight="1" spans="1:9">
      <c r="A970" s="3" t="str">
        <f t="shared" si="95"/>
        <v>0120</v>
      </c>
      <c r="B970" s="3" t="s">
        <v>16</v>
      </c>
      <c r="C970" s="3" t="str">
        <f>"韩双"</f>
        <v>韩双</v>
      </c>
      <c r="D970" s="3" t="str">
        <f t="shared" si="97"/>
        <v>女</v>
      </c>
      <c r="E970" s="3" t="str">
        <f>"2507013428"</f>
        <v>2507013428</v>
      </c>
      <c r="F970" s="3" t="str">
        <f t="shared" si="94"/>
        <v>34</v>
      </c>
      <c r="G970" s="4" t="str">
        <f>"28"</f>
        <v>28</v>
      </c>
      <c r="H970" s="5">
        <v>0</v>
      </c>
      <c r="I970" s="3" t="s">
        <v>11</v>
      </c>
    </row>
    <row r="971" customHeight="1" spans="1:9">
      <c r="A971" s="3" t="str">
        <f t="shared" si="95"/>
        <v>0120</v>
      </c>
      <c r="B971" s="3" t="s">
        <v>16</v>
      </c>
      <c r="C971" s="3" t="str">
        <f>"宋依凡"</f>
        <v>宋依凡</v>
      </c>
      <c r="D971" s="3" t="str">
        <f t="shared" si="97"/>
        <v>女</v>
      </c>
      <c r="E971" s="3" t="str">
        <f>"2507013429"</f>
        <v>2507013429</v>
      </c>
      <c r="F971" s="3" t="str">
        <f t="shared" si="94"/>
        <v>34</v>
      </c>
      <c r="G971" s="4" t="str">
        <f>"29"</f>
        <v>29</v>
      </c>
      <c r="H971" s="5">
        <v>62.5</v>
      </c>
      <c r="I971" s="3"/>
    </row>
    <row r="972" customHeight="1" spans="1:9">
      <c r="A972" s="3" t="str">
        <f t="shared" si="95"/>
        <v>0120</v>
      </c>
      <c r="B972" s="3" t="s">
        <v>16</v>
      </c>
      <c r="C972" s="3" t="str">
        <f>"李星睿"</f>
        <v>李星睿</v>
      </c>
      <c r="D972" s="3" t="str">
        <f t="shared" si="97"/>
        <v>女</v>
      </c>
      <c r="E972" s="3" t="str">
        <f>"2507013430"</f>
        <v>2507013430</v>
      </c>
      <c r="F972" s="3" t="str">
        <f t="shared" si="94"/>
        <v>34</v>
      </c>
      <c r="G972" s="4" t="str">
        <f>"30"</f>
        <v>30</v>
      </c>
      <c r="H972" s="5">
        <v>49.2</v>
      </c>
      <c r="I972" s="3"/>
    </row>
    <row r="973" customHeight="1" spans="1:9">
      <c r="A973" s="3" t="str">
        <f t="shared" si="95"/>
        <v>0120</v>
      </c>
      <c r="B973" s="3" t="s">
        <v>16</v>
      </c>
      <c r="C973" s="3" t="str">
        <f>"胡小玥"</f>
        <v>胡小玥</v>
      </c>
      <c r="D973" s="3" t="str">
        <f t="shared" si="97"/>
        <v>女</v>
      </c>
      <c r="E973" s="3" t="str">
        <f>"2507013501"</f>
        <v>2507013501</v>
      </c>
      <c r="F973" s="3" t="str">
        <f t="shared" ref="F973:F1002" si="98">"35"</f>
        <v>35</v>
      </c>
      <c r="G973" s="4" t="str">
        <f>"01"</f>
        <v>01</v>
      </c>
      <c r="H973" s="5">
        <v>55.4</v>
      </c>
      <c r="I973" s="3"/>
    </row>
    <row r="974" customHeight="1" spans="1:9">
      <c r="A974" s="3" t="str">
        <f t="shared" si="95"/>
        <v>0120</v>
      </c>
      <c r="B974" s="3" t="s">
        <v>16</v>
      </c>
      <c r="C974" s="3" t="str">
        <f>"毛雯丽"</f>
        <v>毛雯丽</v>
      </c>
      <c r="D974" s="3" t="str">
        <f t="shared" si="97"/>
        <v>女</v>
      </c>
      <c r="E974" s="3" t="str">
        <f>"2507013502"</f>
        <v>2507013502</v>
      </c>
      <c r="F974" s="3" t="str">
        <f t="shared" si="98"/>
        <v>35</v>
      </c>
      <c r="G974" s="4" t="str">
        <f>"02"</f>
        <v>02</v>
      </c>
      <c r="H974" s="5">
        <v>0</v>
      </c>
      <c r="I974" s="3" t="s">
        <v>11</v>
      </c>
    </row>
    <row r="975" customHeight="1" spans="1:9">
      <c r="A975" s="3" t="str">
        <f t="shared" si="95"/>
        <v>0120</v>
      </c>
      <c r="B975" s="3" t="s">
        <v>16</v>
      </c>
      <c r="C975" s="3" t="str">
        <f>"武小丽"</f>
        <v>武小丽</v>
      </c>
      <c r="D975" s="3" t="str">
        <f t="shared" si="97"/>
        <v>女</v>
      </c>
      <c r="E975" s="3" t="str">
        <f>"2507013503"</f>
        <v>2507013503</v>
      </c>
      <c r="F975" s="3" t="str">
        <f t="shared" si="98"/>
        <v>35</v>
      </c>
      <c r="G975" s="4" t="str">
        <f>"03"</f>
        <v>03</v>
      </c>
      <c r="H975" s="5">
        <v>0</v>
      </c>
      <c r="I975" s="3" t="s">
        <v>11</v>
      </c>
    </row>
    <row r="976" customHeight="1" spans="1:9">
      <c r="A976" s="3" t="str">
        <f t="shared" si="95"/>
        <v>0120</v>
      </c>
      <c r="B976" s="3" t="s">
        <v>16</v>
      </c>
      <c r="C976" s="3" t="str">
        <f>"张玥"</f>
        <v>张玥</v>
      </c>
      <c r="D976" s="3" t="str">
        <f t="shared" si="97"/>
        <v>女</v>
      </c>
      <c r="E976" s="3" t="str">
        <f>"2507013504"</f>
        <v>2507013504</v>
      </c>
      <c r="F976" s="3" t="str">
        <f t="shared" si="98"/>
        <v>35</v>
      </c>
      <c r="G976" s="4" t="str">
        <f>"04"</f>
        <v>04</v>
      </c>
      <c r="H976" s="5">
        <v>69.3</v>
      </c>
      <c r="I976" s="3"/>
    </row>
    <row r="977" customHeight="1" spans="1:9">
      <c r="A977" s="3" t="str">
        <f t="shared" si="95"/>
        <v>0120</v>
      </c>
      <c r="B977" s="3" t="s">
        <v>16</v>
      </c>
      <c r="C977" s="3" t="str">
        <f>"倪炜玮"</f>
        <v>倪炜玮</v>
      </c>
      <c r="D977" s="3" t="str">
        <f t="shared" si="97"/>
        <v>女</v>
      </c>
      <c r="E977" s="3" t="str">
        <f>"2507013505"</f>
        <v>2507013505</v>
      </c>
      <c r="F977" s="3" t="str">
        <f t="shared" si="98"/>
        <v>35</v>
      </c>
      <c r="G977" s="4" t="str">
        <f>"05"</f>
        <v>05</v>
      </c>
      <c r="H977" s="5">
        <v>0</v>
      </c>
      <c r="I977" s="3" t="s">
        <v>11</v>
      </c>
    </row>
    <row r="978" customHeight="1" spans="1:9">
      <c r="A978" s="3" t="str">
        <f t="shared" si="95"/>
        <v>0120</v>
      </c>
      <c r="B978" s="3" t="s">
        <v>16</v>
      </c>
      <c r="C978" s="3" t="str">
        <f>"赵怀银"</f>
        <v>赵怀银</v>
      </c>
      <c r="D978" s="3" t="str">
        <f>"男"</f>
        <v>男</v>
      </c>
      <c r="E978" s="3" t="str">
        <f>"2507013506"</f>
        <v>2507013506</v>
      </c>
      <c r="F978" s="3" t="str">
        <f t="shared" si="98"/>
        <v>35</v>
      </c>
      <c r="G978" s="4" t="str">
        <f>"06"</f>
        <v>06</v>
      </c>
      <c r="H978" s="5">
        <v>65.8</v>
      </c>
      <c r="I978" s="3"/>
    </row>
    <row r="979" customHeight="1" spans="1:9">
      <c r="A979" s="3" t="str">
        <f t="shared" si="95"/>
        <v>0120</v>
      </c>
      <c r="B979" s="3" t="s">
        <v>16</v>
      </c>
      <c r="C979" s="3" t="str">
        <f>"李梅"</f>
        <v>李梅</v>
      </c>
      <c r="D979" s="3" t="str">
        <f>"女"</f>
        <v>女</v>
      </c>
      <c r="E979" s="3" t="str">
        <f>"2507013507"</f>
        <v>2507013507</v>
      </c>
      <c r="F979" s="3" t="str">
        <f t="shared" si="98"/>
        <v>35</v>
      </c>
      <c r="G979" s="4" t="str">
        <f>"07"</f>
        <v>07</v>
      </c>
      <c r="H979" s="5">
        <v>64.5</v>
      </c>
      <c r="I979" s="3"/>
    </row>
    <row r="980" customHeight="1" spans="1:9">
      <c r="A980" s="3" t="str">
        <f t="shared" si="95"/>
        <v>0120</v>
      </c>
      <c r="B980" s="3" t="s">
        <v>16</v>
      </c>
      <c r="C980" s="3" t="str">
        <f>"那淏然"</f>
        <v>那淏然</v>
      </c>
      <c r="D980" s="3" t="str">
        <f>"男"</f>
        <v>男</v>
      </c>
      <c r="E980" s="3" t="str">
        <f>"2507013508"</f>
        <v>2507013508</v>
      </c>
      <c r="F980" s="3" t="str">
        <f t="shared" si="98"/>
        <v>35</v>
      </c>
      <c r="G980" s="4" t="str">
        <f>"08"</f>
        <v>08</v>
      </c>
      <c r="H980" s="5">
        <v>56.8</v>
      </c>
      <c r="I980" s="3"/>
    </row>
    <row r="981" customHeight="1" spans="1:9">
      <c r="A981" s="3" t="str">
        <f t="shared" si="95"/>
        <v>0120</v>
      </c>
      <c r="B981" s="3" t="s">
        <v>16</v>
      </c>
      <c r="C981" s="3" t="str">
        <f>"杜莹"</f>
        <v>杜莹</v>
      </c>
      <c r="D981" s="3" t="str">
        <f t="shared" ref="D981:D989" si="99">"女"</f>
        <v>女</v>
      </c>
      <c r="E981" s="3" t="str">
        <f>"2507013509"</f>
        <v>2507013509</v>
      </c>
      <c r="F981" s="3" t="str">
        <f t="shared" si="98"/>
        <v>35</v>
      </c>
      <c r="G981" s="4" t="str">
        <f>"09"</f>
        <v>09</v>
      </c>
      <c r="H981" s="5">
        <v>63.4</v>
      </c>
      <c r="I981" s="3"/>
    </row>
    <row r="982" customHeight="1" spans="1:9">
      <c r="A982" s="3" t="str">
        <f t="shared" si="95"/>
        <v>0120</v>
      </c>
      <c r="B982" s="3" t="s">
        <v>16</v>
      </c>
      <c r="C982" s="3" t="str">
        <f>"李颖"</f>
        <v>李颖</v>
      </c>
      <c r="D982" s="3" t="str">
        <f t="shared" si="99"/>
        <v>女</v>
      </c>
      <c r="E982" s="3" t="str">
        <f>"2507013510"</f>
        <v>2507013510</v>
      </c>
      <c r="F982" s="3" t="str">
        <f t="shared" si="98"/>
        <v>35</v>
      </c>
      <c r="G982" s="4" t="str">
        <f>"10"</f>
        <v>10</v>
      </c>
      <c r="H982" s="5">
        <v>62.7</v>
      </c>
      <c r="I982" s="3"/>
    </row>
    <row r="983" customHeight="1" spans="1:9">
      <c r="A983" s="3" t="str">
        <f t="shared" si="95"/>
        <v>0120</v>
      </c>
      <c r="B983" s="3" t="s">
        <v>16</v>
      </c>
      <c r="C983" s="3" t="str">
        <f>"赵琪琪"</f>
        <v>赵琪琪</v>
      </c>
      <c r="D983" s="3" t="str">
        <f t="shared" si="99"/>
        <v>女</v>
      </c>
      <c r="E983" s="3" t="str">
        <f>"2507013511"</f>
        <v>2507013511</v>
      </c>
      <c r="F983" s="3" t="str">
        <f t="shared" si="98"/>
        <v>35</v>
      </c>
      <c r="G983" s="4" t="str">
        <f>"11"</f>
        <v>11</v>
      </c>
      <c r="H983" s="5">
        <v>54</v>
      </c>
      <c r="I983" s="3"/>
    </row>
    <row r="984" customHeight="1" spans="1:9">
      <c r="A984" s="3" t="str">
        <f t="shared" si="95"/>
        <v>0120</v>
      </c>
      <c r="B984" s="3" t="s">
        <v>16</v>
      </c>
      <c r="C984" s="3" t="str">
        <f>"刘南南"</f>
        <v>刘南南</v>
      </c>
      <c r="D984" s="3" t="str">
        <f t="shared" si="99"/>
        <v>女</v>
      </c>
      <c r="E984" s="3" t="str">
        <f>"2507013512"</f>
        <v>2507013512</v>
      </c>
      <c r="F984" s="3" t="str">
        <f t="shared" si="98"/>
        <v>35</v>
      </c>
      <c r="G984" s="4" t="str">
        <f>"12"</f>
        <v>12</v>
      </c>
      <c r="H984" s="5">
        <v>59.3</v>
      </c>
      <c r="I984" s="3"/>
    </row>
    <row r="985" customHeight="1" spans="1:9">
      <c r="A985" s="3" t="str">
        <f t="shared" si="95"/>
        <v>0120</v>
      </c>
      <c r="B985" s="3" t="s">
        <v>16</v>
      </c>
      <c r="C985" s="3" t="str">
        <f>"杨瑞"</f>
        <v>杨瑞</v>
      </c>
      <c r="D985" s="3" t="str">
        <f t="shared" si="99"/>
        <v>女</v>
      </c>
      <c r="E985" s="3" t="str">
        <f>"2507013513"</f>
        <v>2507013513</v>
      </c>
      <c r="F985" s="3" t="str">
        <f t="shared" si="98"/>
        <v>35</v>
      </c>
      <c r="G985" s="4" t="str">
        <f>"13"</f>
        <v>13</v>
      </c>
      <c r="H985" s="5">
        <v>61.6</v>
      </c>
      <c r="I985" s="3"/>
    </row>
    <row r="986" customHeight="1" spans="1:9">
      <c r="A986" s="3" t="str">
        <f t="shared" si="95"/>
        <v>0120</v>
      </c>
      <c r="B986" s="3" t="s">
        <v>16</v>
      </c>
      <c r="C986" s="3" t="str">
        <f>"张倩倩"</f>
        <v>张倩倩</v>
      </c>
      <c r="D986" s="3" t="str">
        <f t="shared" si="99"/>
        <v>女</v>
      </c>
      <c r="E986" s="3" t="str">
        <f>"2507013514"</f>
        <v>2507013514</v>
      </c>
      <c r="F986" s="3" t="str">
        <f t="shared" si="98"/>
        <v>35</v>
      </c>
      <c r="G986" s="4" t="str">
        <f>"14"</f>
        <v>14</v>
      </c>
      <c r="H986" s="5">
        <v>0</v>
      </c>
      <c r="I986" s="3" t="s">
        <v>11</v>
      </c>
    </row>
    <row r="987" customHeight="1" spans="1:9">
      <c r="A987" s="3" t="str">
        <f t="shared" si="95"/>
        <v>0120</v>
      </c>
      <c r="B987" s="3" t="s">
        <v>16</v>
      </c>
      <c r="C987" s="3" t="str">
        <f>"杨小桐"</f>
        <v>杨小桐</v>
      </c>
      <c r="D987" s="3" t="str">
        <f t="shared" si="99"/>
        <v>女</v>
      </c>
      <c r="E987" s="3" t="str">
        <f>"2507013515"</f>
        <v>2507013515</v>
      </c>
      <c r="F987" s="3" t="str">
        <f t="shared" si="98"/>
        <v>35</v>
      </c>
      <c r="G987" s="4" t="str">
        <f>"15"</f>
        <v>15</v>
      </c>
      <c r="H987" s="5">
        <v>59.6</v>
      </c>
      <c r="I987" s="3"/>
    </row>
    <row r="988" customHeight="1" spans="1:9">
      <c r="A988" s="3" t="str">
        <f t="shared" si="95"/>
        <v>0120</v>
      </c>
      <c r="B988" s="3" t="s">
        <v>16</v>
      </c>
      <c r="C988" s="3" t="str">
        <f>"郁盈盈"</f>
        <v>郁盈盈</v>
      </c>
      <c r="D988" s="3" t="str">
        <f t="shared" si="99"/>
        <v>女</v>
      </c>
      <c r="E988" s="3" t="str">
        <f>"2507013516"</f>
        <v>2507013516</v>
      </c>
      <c r="F988" s="3" t="str">
        <f t="shared" si="98"/>
        <v>35</v>
      </c>
      <c r="G988" s="4" t="str">
        <f>"16"</f>
        <v>16</v>
      </c>
      <c r="H988" s="5">
        <v>0</v>
      </c>
      <c r="I988" s="3" t="s">
        <v>11</v>
      </c>
    </row>
    <row r="989" customHeight="1" spans="1:9">
      <c r="A989" s="3" t="str">
        <f t="shared" si="95"/>
        <v>0120</v>
      </c>
      <c r="B989" s="3" t="s">
        <v>16</v>
      </c>
      <c r="C989" s="3" t="str">
        <f>"任雨琦"</f>
        <v>任雨琦</v>
      </c>
      <c r="D989" s="3" t="str">
        <f t="shared" si="99"/>
        <v>女</v>
      </c>
      <c r="E989" s="3" t="str">
        <f>"2507013517"</f>
        <v>2507013517</v>
      </c>
      <c r="F989" s="3" t="str">
        <f t="shared" si="98"/>
        <v>35</v>
      </c>
      <c r="G989" s="4" t="str">
        <f>"17"</f>
        <v>17</v>
      </c>
      <c r="H989" s="5">
        <v>64.8</v>
      </c>
      <c r="I989" s="3"/>
    </row>
    <row r="990" customHeight="1" spans="1:9">
      <c r="A990" s="3" t="str">
        <f t="shared" si="95"/>
        <v>0120</v>
      </c>
      <c r="B990" s="3" t="s">
        <v>16</v>
      </c>
      <c r="C990" s="3" t="str">
        <f>"朱欢"</f>
        <v>朱欢</v>
      </c>
      <c r="D990" s="3" t="str">
        <f>"男"</f>
        <v>男</v>
      </c>
      <c r="E990" s="3" t="str">
        <f>"2507013518"</f>
        <v>2507013518</v>
      </c>
      <c r="F990" s="3" t="str">
        <f t="shared" si="98"/>
        <v>35</v>
      </c>
      <c r="G990" s="4" t="str">
        <f>"18"</f>
        <v>18</v>
      </c>
      <c r="H990" s="5">
        <v>0</v>
      </c>
      <c r="I990" s="3" t="s">
        <v>11</v>
      </c>
    </row>
    <row r="991" customHeight="1" spans="1:9">
      <c r="A991" s="3" t="str">
        <f t="shared" si="95"/>
        <v>0120</v>
      </c>
      <c r="B991" s="3" t="s">
        <v>16</v>
      </c>
      <c r="C991" s="3" t="str">
        <f>"黄书慧"</f>
        <v>黄书慧</v>
      </c>
      <c r="D991" s="3" t="str">
        <f t="shared" ref="D991:D999" si="100">"女"</f>
        <v>女</v>
      </c>
      <c r="E991" s="3" t="str">
        <f>"2507013519"</f>
        <v>2507013519</v>
      </c>
      <c r="F991" s="3" t="str">
        <f t="shared" si="98"/>
        <v>35</v>
      </c>
      <c r="G991" s="4" t="str">
        <f>"19"</f>
        <v>19</v>
      </c>
      <c r="H991" s="5">
        <v>57.5</v>
      </c>
      <c r="I991" s="3"/>
    </row>
    <row r="992" customHeight="1" spans="1:9">
      <c r="A992" s="3" t="str">
        <f t="shared" si="95"/>
        <v>0120</v>
      </c>
      <c r="B992" s="3" t="s">
        <v>16</v>
      </c>
      <c r="C992" s="3" t="str">
        <f>"徐璇璇"</f>
        <v>徐璇璇</v>
      </c>
      <c r="D992" s="3" t="str">
        <f t="shared" si="100"/>
        <v>女</v>
      </c>
      <c r="E992" s="3" t="str">
        <f>"2507013520"</f>
        <v>2507013520</v>
      </c>
      <c r="F992" s="3" t="str">
        <f t="shared" si="98"/>
        <v>35</v>
      </c>
      <c r="G992" s="4" t="str">
        <f>"20"</f>
        <v>20</v>
      </c>
      <c r="H992" s="5">
        <v>0</v>
      </c>
      <c r="I992" s="3" t="s">
        <v>11</v>
      </c>
    </row>
    <row r="993" customHeight="1" spans="1:9">
      <c r="A993" s="3" t="str">
        <f t="shared" si="95"/>
        <v>0120</v>
      </c>
      <c r="B993" s="3" t="s">
        <v>16</v>
      </c>
      <c r="C993" s="3" t="str">
        <f>"吴瑞倩"</f>
        <v>吴瑞倩</v>
      </c>
      <c r="D993" s="3" t="str">
        <f t="shared" si="100"/>
        <v>女</v>
      </c>
      <c r="E993" s="3" t="str">
        <f>"2507013521"</f>
        <v>2507013521</v>
      </c>
      <c r="F993" s="3" t="str">
        <f t="shared" si="98"/>
        <v>35</v>
      </c>
      <c r="G993" s="4" t="str">
        <f>"21"</f>
        <v>21</v>
      </c>
      <c r="H993" s="5">
        <v>0</v>
      </c>
      <c r="I993" s="3" t="s">
        <v>11</v>
      </c>
    </row>
    <row r="994" customHeight="1" spans="1:9">
      <c r="A994" s="3" t="str">
        <f t="shared" si="95"/>
        <v>0120</v>
      </c>
      <c r="B994" s="3" t="s">
        <v>16</v>
      </c>
      <c r="C994" s="3" t="str">
        <f>"姜文静"</f>
        <v>姜文静</v>
      </c>
      <c r="D994" s="3" t="str">
        <f t="shared" si="100"/>
        <v>女</v>
      </c>
      <c r="E994" s="3" t="str">
        <f>"2507013522"</f>
        <v>2507013522</v>
      </c>
      <c r="F994" s="3" t="str">
        <f t="shared" si="98"/>
        <v>35</v>
      </c>
      <c r="G994" s="4" t="str">
        <f>"22"</f>
        <v>22</v>
      </c>
      <c r="H994" s="5">
        <v>67</v>
      </c>
      <c r="I994" s="3"/>
    </row>
    <row r="995" customHeight="1" spans="1:9">
      <c r="A995" s="3" t="str">
        <f t="shared" si="95"/>
        <v>0120</v>
      </c>
      <c r="B995" s="3" t="s">
        <v>16</v>
      </c>
      <c r="C995" s="3" t="str">
        <f>"陆步"</f>
        <v>陆步</v>
      </c>
      <c r="D995" s="3" t="str">
        <f t="shared" si="100"/>
        <v>女</v>
      </c>
      <c r="E995" s="3" t="str">
        <f>"2507013523"</f>
        <v>2507013523</v>
      </c>
      <c r="F995" s="3" t="str">
        <f t="shared" si="98"/>
        <v>35</v>
      </c>
      <c r="G995" s="4" t="str">
        <f>"23"</f>
        <v>23</v>
      </c>
      <c r="H995" s="5">
        <v>59.4</v>
      </c>
      <c r="I995" s="3"/>
    </row>
    <row r="996" customHeight="1" spans="1:9">
      <c r="A996" s="3" t="str">
        <f t="shared" si="95"/>
        <v>0120</v>
      </c>
      <c r="B996" s="3" t="s">
        <v>16</v>
      </c>
      <c r="C996" s="3" t="str">
        <f>"杜胜男"</f>
        <v>杜胜男</v>
      </c>
      <c r="D996" s="3" t="str">
        <f t="shared" si="100"/>
        <v>女</v>
      </c>
      <c r="E996" s="3" t="str">
        <f>"2507013524"</f>
        <v>2507013524</v>
      </c>
      <c r="F996" s="3" t="str">
        <f t="shared" si="98"/>
        <v>35</v>
      </c>
      <c r="G996" s="4" t="str">
        <f>"24"</f>
        <v>24</v>
      </c>
      <c r="H996" s="5">
        <v>0</v>
      </c>
      <c r="I996" s="3" t="s">
        <v>11</v>
      </c>
    </row>
    <row r="997" customHeight="1" spans="1:9">
      <c r="A997" s="3" t="str">
        <f t="shared" si="95"/>
        <v>0120</v>
      </c>
      <c r="B997" s="3" t="s">
        <v>16</v>
      </c>
      <c r="C997" s="3" t="str">
        <f>"孙志丽"</f>
        <v>孙志丽</v>
      </c>
      <c r="D997" s="3" t="str">
        <f t="shared" si="100"/>
        <v>女</v>
      </c>
      <c r="E997" s="3" t="str">
        <f>"2507013525"</f>
        <v>2507013525</v>
      </c>
      <c r="F997" s="3" t="str">
        <f t="shared" si="98"/>
        <v>35</v>
      </c>
      <c r="G997" s="4" t="str">
        <f>"25"</f>
        <v>25</v>
      </c>
      <c r="H997" s="5">
        <v>0</v>
      </c>
      <c r="I997" s="3" t="s">
        <v>11</v>
      </c>
    </row>
    <row r="998" customHeight="1" spans="1:9">
      <c r="A998" s="3" t="str">
        <f t="shared" si="95"/>
        <v>0120</v>
      </c>
      <c r="B998" s="3" t="s">
        <v>16</v>
      </c>
      <c r="C998" s="3" t="str">
        <f>"徐艳"</f>
        <v>徐艳</v>
      </c>
      <c r="D998" s="3" t="str">
        <f t="shared" si="100"/>
        <v>女</v>
      </c>
      <c r="E998" s="3" t="str">
        <f>"2507013526"</f>
        <v>2507013526</v>
      </c>
      <c r="F998" s="3" t="str">
        <f t="shared" si="98"/>
        <v>35</v>
      </c>
      <c r="G998" s="4" t="str">
        <f>"26"</f>
        <v>26</v>
      </c>
      <c r="H998" s="5">
        <v>0</v>
      </c>
      <c r="I998" s="3" t="s">
        <v>11</v>
      </c>
    </row>
    <row r="999" customHeight="1" spans="1:9">
      <c r="A999" s="3" t="str">
        <f t="shared" si="95"/>
        <v>0120</v>
      </c>
      <c r="B999" s="3" t="s">
        <v>16</v>
      </c>
      <c r="C999" s="3" t="str">
        <f>"宋婷"</f>
        <v>宋婷</v>
      </c>
      <c r="D999" s="3" t="str">
        <f t="shared" si="100"/>
        <v>女</v>
      </c>
      <c r="E999" s="3" t="str">
        <f>"2507013527"</f>
        <v>2507013527</v>
      </c>
      <c r="F999" s="3" t="str">
        <f t="shared" si="98"/>
        <v>35</v>
      </c>
      <c r="G999" s="4" t="str">
        <f>"27"</f>
        <v>27</v>
      </c>
      <c r="H999" s="5">
        <v>0</v>
      </c>
      <c r="I999" s="3" t="s">
        <v>11</v>
      </c>
    </row>
    <row r="1000" customHeight="1" spans="1:9">
      <c r="A1000" s="3" t="str">
        <f t="shared" si="95"/>
        <v>0120</v>
      </c>
      <c r="B1000" s="3" t="s">
        <v>16</v>
      </c>
      <c r="C1000" s="3" t="str">
        <f>"郭浩"</f>
        <v>郭浩</v>
      </c>
      <c r="D1000" s="3" t="str">
        <f>"男"</f>
        <v>男</v>
      </c>
      <c r="E1000" s="3" t="str">
        <f>"2507013528"</f>
        <v>2507013528</v>
      </c>
      <c r="F1000" s="3" t="str">
        <f t="shared" si="98"/>
        <v>35</v>
      </c>
      <c r="G1000" s="4" t="str">
        <f>"28"</f>
        <v>28</v>
      </c>
      <c r="H1000" s="5">
        <v>0</v>
      </c>
      <c r="I1000" s="3" t="s">
        <v>11</v>
      </c>
    </row>
    <row r="1001" customHeight="1" spans="1:9">
      <c r="A1001" s="3" t="str">
        <f t="shared" si="95"/>
        <v>0120</v>
      </c>
      <c r="B1001" s="3" t="s">
        <v>16</v>
      </c>
      <c r="C1001" s="3" t="str">
        <f>"李杨"</f>
        <v>李杨</v>
      </c>
      <c r="D1001" s="3" t="str">
        <f>"女"</f>
        <v>女</v>
      </c>
      <c r="E1001" s="3" t="str">
        <f>"2507013529"</f>
        <v>2507013529</v>
      </c>
      <c r="F1001" s="3" t="str">
        <f t="shared" si="98"/>
        <v>35</v>
      </c>
      <c r="G1001" s="4" t="str">
        <f>"29"</f>
        <v>29</v>
      </c>
      <c r="H1001" s="5">
        <v>0</v>
      </c>
      <c r="I1001" s="3" t="s">
        <v>11</v>
      </c>
    </row>
    <row r="1002" customHeight="1" spans="1:9">
      <c r="A1002" s="3" t="str">
        <f t="shared" si="95"/>
        <v>0120</v>
      </c>
      <c r="B1002" s="3" t="s">
        <v>16</v>
      </c>
      <c r="C1002" s="3" t="str">
        <f>"徐洁"</f>
        <v>徐洁</v>
      </c>
      <c r="D1002" s="3" t="str">
        <f>"女"</f>
        <v>女</v>
      </c>
      <c r="E1002" s="3" t="str">
        <f>"2507013530"</f>
        <v>2507013530</v>
      </c>
      <c r="F1002" s="3" t="str">
        <f t="shared" si="98"/>
        <v>35</v>
      </c>
      <c r="G1002" s="4" t="str">
        <f>"30"</f>
        <v>30</v>
      </c>
      <c r="H1002" s="5">
        <v>0</v>
      </c>
      <c r="I1002" s="3" t="s">
        <v>11</v>
      </c>
    </row>
    <row r="1003" customHeight="1" spans="1:9">
      <c r="A1003" s="3" t="str">
        <f t="shared" si="95"/>
        <v>0120</v>
      </c>
      <c r="B1003" s="3" t="s">
        <v>16</v>
      </c>
      <c r="C1003" s="3" t="str">
        <f>"王德欣"</f>
        <v>王德欣</v>
      </c>
      <c r="D1003" s="3" t="str">
        <f>"女"</f>
        <v>女</v>
      </c>
      <c r="E1003" s="3" t="str">
        <f>"2507013601"</f>
        <v>2507013601</v>
      </c>
      <c r="F1003" s="3" t="str">
        <f t="shared" ref="F1003:F1032" si="101">"36"</f>
        <v>36</v>
      </c>
      <c r="G1003" s="4" t="str">
        <f>"01"</f>
        <v>01</v>
      </c>
      <c r="H1003" s="5">
        <v>61.2</v>
      </c>
      <c r="I1003" s="3"/>
    </row>
    <row r="1004" customHeight="1" spans="1:9">
      <c r="A1004" s="3" t="str">
        <f t="shared" si="95"/>
        <v>0120</v>
      </c>
      <c r="B1004" s="3" t="s">
        <v>16</v>
      </c>
      <c r="C1004" s="3" t="str">
        <f>"江兴佳"</f>
        <v>江兴佳</v>
      </c>
      <c r="D1004" s="3" t="str">
        <f>"女"</f>
        <v>女</v>
      </c>
      <c r="E1004" s="3" t="str">
        <f>"2507013602"</f>
        <v>2507013602</v>
      </c>
      <c r="F1004" s="3" t="str">
        <f t="shared" si="101"/>
        <v>36</v>
      </c>
      <c r="G1004" s="4" t="str">
        <f>"02"</f>
        <v>02</v>
      </c>
      <c r="H1004" s="5">
        <v>0</v>
      </c>
      <c r="I1004" s="3" t="s">
        <v>11</v>
      </c>
    </row>
    <row r="1005" customHeight="1" spans="1:9">
      <c r="A1005" s="3" t="str">
        <f t="shared" si="95"/>
        <v>0120</v>
      </c>
      <c r="B1005" s="3" t="s">
        <v>16</v>
      </c>
      <c r="C1005" s="3" t="str">
        <f>"聂印"</f>
        <v>聂印</v>
      </c>
      <c r="D1005" s="3" t="str">
        <f>"男"</f>
        <v>男</v>
      </c>
      <c r="E1005" s="3" t="str">
        <f>"2507013603"</f>
        <v>2507013603</v>
      </c>
      <c r="F1005" s="3" t="str">
        <f t="shared" si="101"/>
        <v>36</v>
      </c>
      <c r="G1005" s="4" t="str">
        <f>"03"</f>
        <v>03</v>
      </c>
      <c r="H1005" s="5">
        <v>66.3</v>
      </c>
      <c r="I1005" s="3"/>
    </row>
    <row r="1006" customHeight="1" spans="1:9">
      <c r="A1006" s="3" t="str">
        <f t="shared" si="95"/>
        <v>0120</v>
      </c>
      <c r="B1006" s="3" t="s">
        <v>16</v>
      </c>
      <c r="C1006" s="3" t="str">
        <f>"陈蕊"</f>
        <v>陈蕊</v>
      </c>
      <c r="D1006" s="3" t="str">
        <f>"女"</f>
        <v>女</v>
      </c>
      <c r="E1006" s="3" t="str">
        <f>"2507013604"</f>
        <v>2507013604</v>
      </c>
      <c r="F1006" s="3" t="str">
        <f t="shared" si="101"/>
        <v>36</v>
      </c>
      <c r="G1006" s="4" t="str">
        <f>"04"</f>
        <v>04</v>
      </c>
      <c r="H1006" s="5">
        <v>52.6</v>
      </c>
      <c r="I1006" s="3"/>
    </row>
    <row r="1007" customHeight="1" spans="1:9">
      <c r="A1007" s="3" t="str">
        <f t="shared" si="95"/>
        <v>0120</v>
      </c>
      <c r="B1007" s="3" t="s">
        <v>16</v>
      </c>
      <c r="C1007" s="3" t="str">
        <f>"洛坪"</f>
        <v>洛坪</v>
      </c>
      <c r="D1007" s="3" t="str">
        <f>"女"</f>
        <v>女</v>
      </c>
      <c r="E1007" s="3" t="str">
        <f>"2507013605"</f>
        <v>2507013605</v>
      </c>
      <c r="F1007" s="3" t="str">
        <f t="shared" si="101"/>
        <v>36</v>
      </c>
      <c r="G1007" s="4" t="str">
        <f>"05"</f>
        <v>05</v>
      </c>
      <c r="H1007" s="5">
        <v>59.5</v>
      </c>
      <c r="I1007" s="3"/>
    </row>
    <row r="1008" customHeight="1" spans="1:9">
      <c r="A1008" s="3" t="str">
        <f t="shared" si="95"/>
        <v>0120</v>
      </c>
      <c r="B1008" s="3" t="s">
        <v>16</v>
      </c>
      <c r="C1008" s="3" t="str">
        <f>"田浩岑"</f>
        <v>田浩岑</v>
      </c>
      <c r="D1008" s="3" t="str">
        <f>"男"</f>
        <v>男</v>
      </c>
      <c r="E1008" s="3" t="str">
        <f>"2507013606"</f>
        <v>2507013606</v>
      </c>
      <c r="F1008" s="3" t="str">
        <f t="shared" si="101"/>
        <v>36</v>
      </c>
      <c r="G1008" s="4" t="str">
        <f>"06"</f>
        <v>06</v>
      </c>
      <c r="H1008" s="5">
        <v>0</v>
      </c>
      <c r="I1008" s="3" t="s">
        <v>11</v>
      </c>
    </row>
    <row r="1009" customHeight="1" spans="1:9">
      <c r="A1009" s="3" t="str">
        <f t="shared" si="95"/>
        <v>0120</v>
      </c>
      <c r="B1009" s="3" t="s">
        <v>16</v>
      </c>
      <c r="C1009" s="3" t="str">
        <f>"邹沐洁"</f>
        <v>邹沐洁</v>
      </c>
      <c r="D1009" s="3" t="str">
        <f t="shared" ref="D1009:D1015" si="102">"女"</f>
        <v>女</v>
      </c>
      <c r="E1009" s="3" t="str">
        <f>"2507013607"</f>
        <v>2507013607</v>
      </c>
      <c r="F1009" s="3" t="str">
        <f t="shared" si="101"/>
        <v>36</v>
      </c>
      <c r="G1009" s="4" t="str">
        <f>"07"</f>
        <v>07</v>
      </c>
      <c r="H1009" s="5">
        <v>54.8</v>
      </c>
      <c r="I1009" s="3"/>
    </row>
    <row r="1010" customHeight="1" spans="1:9">
      <c r="A1010" s="3" t="str">
        <f t="shared" si="95"/>
        <v>0120</v>
      </c>
      <c r="B1010" s="3" t="s">
        <v>16</v>
      </c>
      <c r="C1010" s="3" t="str">
        <f>"徐子妍"</f>
        <v>徐子妍</v>
      </c>
      <c r="D1010" s="3" t="str">
        <f t="shared" si="102"/>
        <v>女</v>
      </c>
      <c r="E1010" s="3" t="str">
        <f>"2507013608"</f>
        <v>2507013608</v>
      </c>
      <c r="F1010" s="3" t="str">
        <f t="shared" si="101"/>
        <v>36</v>
      </c>
      <c r="G1010" s="4" t="str">
        <f>"08"</f>
        <v>08</v>
      </c>
      <c r="H1010" s="5">
        <v>0</v>
      </c>
      <c r="I1010" s="3" t="s">
        <v>11</v>
      </c>
    </row>
    <row r="1011" customHeight="1" spans="1:9">
      <c r="A1011" s="3" t="str">
        <f t="shared" ref="A1011:A1018" si="103">"0120"</f>
        <v>0120</v>
      </c>
      <c r="B1011" s="3" t="s">
        <v>16</v>
      </c>
      <c r="C1011" s="3" t="str">
        <f>"吴晨"</f>
        <v>吴晨</v>
      </c>
      <c r="D1011" s="3" t="str">
        <f t="shared" si="102"/>
        <v>女</v>
      </c>
      <c r="E1011" s="3" t="str">
        <f>"2507013609"</f>
        <v>2507013609</v>
      </c>
      <c r="F1011" s="3" t="str">
        <f t="shared" si="101"/>
        <v>36</v>
      </c>
      <c r="G1011" s="4" t="str">
        <f>"09"</f>
        <v>09</v>
      </c>
      <c r="H1011" s="5">
        <v>67.3</v>
      </c>
      <c r="I1011" s="3"/>
    </row>
    <row r="1012" customHeight="1" spans="1:9">
      <c r="A1012" s="3" t="str">
        <f t="shared" si="103"/>
        <v>0120</v>
      </c>
      <c r="B1012" s="3" t="s">
        <v>16</v>
      </c>
      <c r="C1012" s="3" t="str">
        <f>"滕广宁"</f>
        <v>滕广宁</v>
      </c>
      <c r="D1012" s="3" t="str">
        <f t="shared" si="102"/>
        <v>女</v>
      </c>
      <c r="E1012" s="3" t="str">
        <f>"2507013610"</f>
        <v>2507013610</v>
      </c>
      <c r="F1012" s="3" t="str">
        <f t="shared" si="101"/>
        <v>36</v>
      </c>
      <c r="G1012" s="4" t="str">
        <f>"10"</f>
        <v>10</v>
      </c>
      <c r="H1012" s="5">
        <v>0</v>
      </c>
      <c r="I1012" s="3" t="s">
        <v>11</v>
      </c>
    </row>
    <row r="1013" customHeight="1" spans="1:9">
      <c r="A1013" s="3" t="str">
        <f t="shared" si="103"/>
        <v>0120</v>
      </c>
      <c r="B1013" s="3" t="s">
        <v>16</v>
      </c>
      <c r="C1013" s="3" t="str">
        <f>"许彤"</f>
        <v>许彤</v>
      </c>
      <c r="D1013" s="3" t="str">
        <f t="shared" si="102"/>
        <v>女</v>
      </c>
      <c r="E1013" s="3" t="str">
        <f>"2507013611"</f>
        <v>2507013611</v>
      </c>
      <c r="F1013" s="3" t="str">
        <f t="shared" si="101"/>
        <v>36</v>
      </c>
      <c r="G1013" s="4" t="str">
        <f>"11"</f>
        <v>11</v>
      </c>
      <c r="H1013" s="5">
        <v>62.2</v>
      </c>
      <c r="I1013" s="3"/>
    </row>
    <row r="1014" customHeight="1" spans="1:9">
      <c r="A1014" s="3" t="str">
        <f t="shared" si="103"/>
        <v>0120</v>
      </c>
      <c r="B1014" s="3" t="s">
        <v>16</v>
      </c>
      <c r="C1014" s="3" t="str">
        <f>"姜倩倩"</f>
        <v>姜倩倩</v>
      </c>
      <c r="D1014" s="3" t="str">
        <f t="shared" si="102"/>
        <v>女</v>
      </c>
      <c r="E1014" s="3" t="str">
        <f>"2507013612"</f>
        <v>2507013612</v>
      </c>
      <c r="F1014" s="3" t="str">
        <f t="shared" si="101"/>
        <v>36</v>
      </c>
      <c r="G1014" s="4" t="str">
        <f>"12"</f>
        <v>12</v>
      </c>
      <c r="H1014" s="5">
        <v>58.3</v>
      </c>
      <c r="I1014" s="3"/>
    </row>
    <row r="1015" customHeight="1" spans="1:9">
      <c r="A1015" s="3" t="str">
        <f t="shared" si="103"/>
        <v>0120</v>
      </c>
      <c r="B1015" s="3" t="s">
        <v>16</v>
      </c>
      <c r="C1015" s="3" t="str">
        <f>"吴佳昕"</f>
        <v>吴佳昕</v>
      </c>
      <c r="D1015" s="3" t="str">
        <f t="shared" si="102"/>
        <v>女</v>
      </c>
      <c r="E1015" s="3" t="str">
        <f>"2507013613"</f>
        <v>2507013613</v>
      </c>
      <c r="F1015" s="3" t="str">
        <f t="shared" si="101"/>
        <v>36</v>
      </c>
      <c r="G1015" s="4" t="str">
        <f>"13"</f>
        <v>13</v>
      </c>
      <c r="H1015" s="5">
        <v>0</v>
      </c>
      <c r="I1015" s="3" t="s">
        <v>11</v>
      </c>
    </row>
    <row r="1016" customHeight="1" spans="1:9">
      <c r="A1016" s="3" t="str">
        <f t="shared" si="103"/>
        <v>0120</v>
      </c>
      <c r="B1016" s="3" t="s">
        <v>16</v>
      </c>
      <c r="C1016" s="3" t="str">
        <f>"刘威威"</f>
        <v>刘威威</v>
      </c>
      <c r="D1016" s="3" t="str">
        <f>"男"</f>
        <v>男</v>
      </c>
      <c r="E1016" s="3" t="str">
        <f>"2507013614"</f>
        <v>2507013614</v>
      </c>
      <c r="F1016" s="3" t="str">
        <f t="shared" si="101"/>
        <v>36</v>
      </c>
      <c r="G1016" s="4" t="str">
        <f>"14"</f>
        <v>14</v>
      </c>
      <c r="H1016" s="5">
        <v>61.9</v>
      </c>
      <c r="I1016" s="3"/>
    </row>
    <row r="1017" customHeight="1" spans="1:9">
      <c r="A1017" s="3" t="str">
        <f t="shared" si="103"/>
        <v>0120</v>
      </c>
      <c r="B1017" s="3" t="s">
        <v>16</v>
      </c>
      <c r="C1017" s="3" t="str">
        <f>"岳铭美"</f>
        <v>岳铭美</v>
      </c>
      <c r="D1017" s="3" t="str">
        <f t="shared" ref="D1017:D1033" si="104">"女"</f>
        <v>女</v>
      </c>
      <c r="E1017" s="3" t="str">
        <f>"2507013615"</f>
        <v>2507013615</v>
      </c>
      <c r="F1017" s="3" t="str">
        <f t="shared" si="101"/>
        <v>36</v>
      </c>
      <c r="G1017" s="4" t="str">
        <f>"15"</f>
        <v>15</v>
      </c>
      <c r="H1017" s="5">
        <v>0</v>
      </c>
      <c r="I1017" s="3" t="s">
        <v>11</v>
      </c>
    </row>
    <row r="1018" customHeight="1" spans="1:9">
      <c r="A1018" s="3" t="str">
        <f t="shared" si="103"/>
        <v>0120</v>
      </c>
      <c r="B1018" s="3" t="s">
        <v>16</v>
      </c>
      <c r="C1018" s="3" t="str">
        <f>"董迪"</f>
        <v>董迪</v>
      </c>
      <c r="D1018" s="3" t="str">
        <f t="shared" si="104"/>
        <v>女</v>
      </c>
      <c r="E1018" s="3" t="str">
        <f>"2507013616"</f>
        <v>2507013616</v>
      </c>
      <c r="F1018" s="3" t="str">
        <f t="shared" si="101"/>
        <v>36</v>
      </c>
      <c r="G1018" s="4" t="str">
        <f>"16"</f>
        <v>16</v>
      </c>
      <c r="H1018" s="5">
        <v>56.4</v>
      </c>
      <c r="I1018" s="3"/>
    </row>
    <row r="1019" customHeight="1" spans="1:9">
      <c r="A1019" s="3" t="str">
        <f t="shared" ref="A1019:A1029" si="105">"0123"</f>
        <v>0123</v>
      </c>
      <c r="B1019" s="3" t="s">
        <v>17</v>
      </c>
      <c r="C1019" s="3" t="str">
        <f>"闫心茹"</f>
        <v>闫心茹</v>
      </c>
      <c r="D1019" s="3" t="str">
        <f t="shared" si="104"/>
        <v>女</v>
      </c>
      <c r="E1019" s="3" t="str">
        <f>"2507013617"</f>
        <v>2507013617</v>
      </c>
      <c r="F1019" s="3" t="str">
        <f t="shared" si="101"/>
        <v>36</v>
      </c>
      <c r="G1019" s="4" t="str">
        <f>"17"</f>
        <v>17</v>
      </c>
      <c r="H1019" s="5">
        <v>80</v>
      </c>
      <c r="I1019" s="3"/>
    </row>
    <row r="1020" customHeight="1" spans="1:9">
      <c r="A1020" s="3" t="str">
        <f t="shared" si="105"/>
        <v>0123</v>
      </c>
      <c r="B1020" s="3" t="s">
        <v>17</v>
      </c>
      <c r="C1020" s="3" t="str">
        <f>"时铭"</f>
        <v>时铭</v>
      </c>
      <c r="D1020" s="3" t="str">
        <f t="shared" si="104"/>
        <v>女</v>
      </c>
      <c r="E1020" s="3" t="str">
        <f>"2507013618"</f>
        <v>2507013618</v>
      </c>
      <c r="F1020" s="3" t="str">
        <f t="shared" si="101"/>
        <v>36</v>
      </c>
      <c r="G1020" s="4" t="str">
        <f>"18"</f>
        <v>18</v>
      </c>
      <c r="H1020" s="5">
        <v>79.9</v>
      </c>
      <c r="I1020" s="3"/>
    </row>
    <row r="1021" customHeight="1" spans="1:9">
      <c r="A1021" s="3" t="str">
        <f t="shared" si="105"/>
        <v>0123</v>
      </c>
      <c r="B1021" s="3" t="s">
        <v>17</v>
      </c>
      <c r="C1021" s="3" t="str">
        <f>"程旭"</f>
        <v>程旭</v>
      </c>
      <c r="D1021" s="3" t="str">
        <f t="shared" si="104"/>
        <v>女</v>
      </c>
      <c r="E1021" s="3" t="str">
        <f>"2507013619"</f>
        <v>2507013619</v>
      </c>
      <c r="F1021" s="3" t="str">
        <f t="shared" si="101"/>
        <v>36</v>
      </c>
      <c r="G1021" s="4" t="str">
        <f>"19"</f>
        <v>19</v>
      </c>
      <c r="H1021" s="5">
        <v>0</v>
      </c>
      <c r="I1021" s="3" t="s">
        <v>11</v>
      </c>
    </row>
    <row r="1022" customHeight="1" spans="1:9">
      <c r="A1022" s="3" t="str">
        <f t="shared" si="105"/>
        <v>0123</v>
      </c>
      <c r="B1022" s="3" t="s">
        <v>17</v>
      </c>
      <c r="C1022" s="3" t="str">
        <f>"苗亚敏"</f>
        <v>苗亚敏</v>
      </c>
      <c r="D1022" s="3" t="str">
        <f t="shared" si="104"/>
        <v>女</v>
      </c>
      <c r="E1022" s="3" t="str">
        <f>"2507013620"</f>
        <v>2507013620</v>
      </c>
      <c r="F1022" s="3" t="str">
        <f t="shared" si="101"/>
        <v>36</v>
      </c>
      <c r="G1022" s="4" t="str">
        <f>"20"</f>
        <v>20</v>
      </c>
      <c r="H1022" s="5">
        <v>71.3</v>
      </c>
      <c r="I1022" s="3"/>
    </row>
    <row r="1023" customHeight="1" spans="1:9">
      <c r="A1023" s="3" t="str">
        <f t="shared" si="105"/>
        <v>0123</v>
      </c>
      <c r="B1023" s="3" t="s">
        <v>17</v>
      </c>
      <c r="C1023" s="3" t="str">
        <f>"姚一茗"</f>
        <v>姚一茗</v>
      </c>
      <c r="D1023" s="3" t="str">
        <f t="shared" si="104"/>
        <v>女</v>
      </c>
      <c r="E1023" s="3" t="str">
        <f>"2507013621"</f>
        <v>2507013621</v>
      </c>
      <c r="F1023" s="3" t="str">
        <f t="shared" si="101"/>
        <v>36</v>
      </c>
      <c r="G1023" s="4" t="str">
        <f>"21"</f>
        <v>21</v>
      </c>
      <c r="H1023" s="5">
        <v>0</v>
      </c>
      <c r="I1023" s="3" t="s">
        <v>11</v>
      </c>
    </row>
    <row r="1024" customHeight="1" spans="1:9">
      <c r="A1024" s="3" t="str">
        <f t="shared" si="105"/>
        <v>0123</v>
      </c>
      <c r="B1024" s="3" t="s">
        <v>17</v>
      </c>
      <c r="C1024" s="3" t="str">
        <f>"蔡会文"</f>
        <v>蔡会文</v>
      </c>
      <c r="D1024" s="3" t="str">
        <f t="shared" si="104"/>
        <v>女</v>
      </c>
      <c r="E1024" s="3" t="str">
        <f>"2507013622"</f>
        <v>2507013622</v>
      </c>
      <c r="F1024" s="3" t="str">
        <f t="shared" si="101"/>
        <v>36</v>
      </c>
      <c r="G1024" s="4" t="str">
        <f>"22"</f>
        <v>22</v>
      </c>
      <c r="H1024" s="5">
        <v>0</v>
      </c>
      <c r="I1024" s="3" t="s">
        <v>11</v>
      </c>
    </row>
    <row r="1025" customHeight="1" spans="1:9">
      <c r="A1025" s="3" t="str">
        <f t="shared" si="105"/>
        <v>0123</v>
      </c>
      <c r="B1025" s="3" t="s">
        <v>17</v>
      </c>
      <c r="C1025" s="3" t="str">
        <f>"刘箫轩"</f>
        <v>刘箫轩</v>
      </c>
      <c r="D1025" s="3" t="str">
        <f t="shared" si="104"/>
        <v>女</v>
      </c>
      <c r="E1025" s="3" t="str">
        <f>"2507013623"</f>
        <v>2507013623</v>
      </c>
      <c r="F1025" s="3" t="str">
        <f t="shared" si="101"/>
        <v>36</v>
      </c>
      <c r="G1025" s="4" t="str">
        <f>"23"</f>
        <v>23</v>
      </c>
      <c r="H1025" s="5">
        <v>66.3</v>
      </c>
      <c r="I1025" s="3"/>
    </row>
    <row r="1026" customHeight="1" spans="1:9">
      <c r="A1026" s="3" t="str">
        <f t="shared" si="105"/>
        <v>0123</v>
      </c>
      <c r="B1026" s="3" t="s">
        <v>17</v>
      </c>
      <c r="C1026" s="3" t="str">
        <f>"梁译文"</f>
        <v>梁译文</v>
      </c>
      <c r="D1026" s="3" t="str">
        <f t="shared" si="104"/>
        <v>女</v>
      </c>
      <c r="E1026" s="3" t="str">
        <f>"2507013624"</f>
        <v>2507013624</v>
      </c>
      <c r="F1026" s="3" t="str">
        <f t="shared" si="101"/>
        <v>36</v>
      </c>
      <c r="G1026" s="4" t="str">
        <f>"24"</f>
        <v>24</v>
      </c>
      <c r="H1026" s="5">
        <v>0</v>
      </c>
      <c r="I1026" s="3" t="s">
        <v>11</v>
      </c>
    </row>
    <row r="1027" customHeight="1" spans="1:9">
      <c r="A1027" s="3" t="str">
        <f t="shared" si="105"/>
        <v>0123</v>
      </c>
      <c r="B1027" s="3" t="s">
        <v>17</v>
      </c>
      <c r="C1027" s="3" t="str">
        <f>"赵青青"</f>
        <v>赵青青</v>
      </c>
      <c r="D1027" s="3" t="str">
        <f t="shared" si="104"/>
        <v>女</v>
      </c>
      <c r="E1027" s="3" t="str">
        <f>"2507013625"</f>
        <v>2507013625</v>
      </c>
      <c r="F1027" s="3" t="str">
        <f t="shared" si="101"/>
        <v>36</v>
      </c>
      <c r="G1027" s="4" t="str">
        <f>"25"</f>
        <v>25</v>
      </c>
      <c r="H1027" s="5">
        <v>71.9</v>
      </c>
      <c r="I1027" s="3"/>
    </row>
    <row r="1028" customHeight="1" spans="1:9">
      <c r="A1028" s="3" t="str">
        <f t="shared" si="105"/>
        <v>0123</v>
      </c>
      <c r="B1028" s="3" t="s">
        <v>17</v>
      </c>
      <c r="C1028" s="3" t="str">
        <f>"田池"</f>
        <v>田池</v>
      </c>
      <c r="D1028" s="3" t="str">
        <f t="shared" si="104"/>
        <v>女</v>
      </c>
      <c r="E1028" s="3" t="str">
        <f>"2507013626"</f>
        <v>2507013626</v>
      </c>
      <c r="F1028" s="3" t="str">
        <f t="shared" si="101"/>
        <v>36</v>
      </c>
      <c r="G1028" s="4" t="str">
        <f>"26"</f>
        <v>26</v>
      </c>
      <c r="H1028" s="5">
        <v>0</v>
      </c>
      <c r="I1028" s="3" t="s">
        <v>11</v>
      </c>
    </row>
    <row r="1029" customHeight="1" spans="1:9">
      <c r="A1029" s="3" t="str">
        <f t="shared" si="105"/>
        <v>0123</v>
      </c>
      <c r="B1029" s="3" t="s">
        <v>17</v>
      </c>
      <c r="C1029" s="3" t="str">
        <f>"张凯舣"</f>
        <v>张凯舣</v>
      </c>
      <c r="D1029" s="3" t="str">
        <f t="shared" si="104"/>
        <v>女</v>
      </c>
      <c r="E1029" s="3" t="str">
        <f>"2507013627"</f>
        <v>2507013627</v>
      </c>
      <c r="F1029" s="3" t="str">
        <f t="shared" si="101"/>
        <v>36</v>
      </c>
      <c r="G1029" s="4" t="str">
        <f>"27"</f>
        <v>27</v>
      </c>
      <c r="H1029" s="5">
        <v>0</v>
      </c>
      <c r="I1029" s="3" t="s">
        <v>11</v>
      </c>
    </row>
    <row r="1030" customHeight="1" spans="1:9">
      <c r="A1030" s="3" t="str">
        <f>"0124"</f>
        <v>0124</v>
      </c>
      <c r="B1030" s="3" t="s">
        <v>18</v>
      </c>
      <c r="C1030" s="3" t="str">
        <f>"张鑫玲"</f>
        <v>张鑫玲</v>
      </c>
      <c r="D1030" s="3" t="str">
        <f t="shared" si="104"/>
        <v>女</v>
      </c>
      <c r="E1030" s="3" t="str">
        <f>"2507013628"</f>
        <v>2507013628</v>
      </c>
      <c r="F1030" s="3" t="str">
        <f t="shared" si="101"/>
        <v>36</v>
      </c>
      <c r="G1030" s="4" t="str">
        <f>"28"</f>
        <v>28</v>
      </c>
      <c r="H1030" s="5">
        <v>0</v>
      </c>
      <c r="I1030" s="3" t="s">
        <v>11</v>
      </c>
    </row>
    <row r="1031" customHeight="1" spans="1:9">
      <c r="A1031" s="3" t="str">
        <f>"0124"</f>
        <v>0124</v>
      </c>
      <c r="B1031" s="3" t="s">
        <v>18</v>
      </c>
      <c r="C1031" s="3" t="str">
        <f>"韩瑞娟"</f>
        <v>韩瑞娟</v>
      </c>
      <c r="D1031" s="3" t="str">
        <f t="shared" si="104"/>
        <v>女</v>
      </c>
      <c r="E1031" s="3" t="str">
        <f>"2507013629"</f>
        <v>2507013629</v>
      </c>
      <c r="F1031" s="3" t="str">
        <f t="shared" si="101"/>
        <v>36</v>
      </c>
      <c r="G1031" s="4" t="str">
        <f>"29"</f>
        <v>29</v>
      </c>
      <c r="H1031" s="5">
        <v>0</v>
      </c>
      <c r="I1031" s="3" t="s">
        <v>11</v>
      </c>
    </row>
    <row r="1032" customHeight="1" spans="1:9">
      <c r="A1032" s="3" t="str">
        <f>"0124"</f>
        <v>0124</v>
      </c>
      <c r="B1032" s="3" t="s">
        <v>18</v>
      </c>
      <c r="C1032" s="3" t="str">
        <f>"贾伟"</f>
        <v>贾伟</v>
      </c>
      <c r="D1032" s="3" t="str">
        <f t="shared" si="104"/>
        <v>女</v>
      </c>
      <c r="E1032" s="3" t="str">
        <f>"2507013630"</f>
        <v>2507013630</v>
      </c>
      <c r="F1032" s="3" t="str">
        <f t="shared" si="101"/>
        <v>36</v>
      </c>
      <c r="G1032" s="4" t="str">
        <f>"30"</f>
        <v>30</v>
      </c>
      <c r="H1032" s="5">
        <v>75</v>
      </c>
      <c r="I1032" s="3"/>
    </row>
    <row r="1033" customHeight="1" spans="1:9">
      <c r="A1033" s="3" t="str">
        <f t="shared" ref="A1033:A1096" si="106">"0105"</f>
        <v>0105</v>
      </c>
      <c r="B1033" s="3" t="s">
        <v>19</v>
      </c>
      <c r="C1033" s="3" t="str">
        <f>"张茜"</f>
        <v>张茜</v>
      </c>
      <c r="D1033" s="3" t="str">
        <f t="shared" si="104"/>
        <v>女</v>
      </c>
      <c r="E1033" s="3" t="str">
        <f>"2507013701"</f>
        <v>2507013701</v>
      </c>
      <c r="F1033" s="3" t="str">
        <f t="shared" ref="F1033:F1062" si="107">"37"</f>
        <v>37</v>
      </c>
      <c r="G1033" s="4" t="str">
        <f>"01"</f>
        <v>01</v>
      </c>
      <c r="H1033" s="5">
        <v>38.8</v>
      </c>
      <c r="I1033" s="3"/>
    </row>
    <row r="1034" customHeight="1" spans="1:9">
      <c r="A1034" s="3" t="str">
        <f t="shared" si="106"/>
        <v>0105</v>
      </c>
      <c r="B1034" s="3" t="s">
        <v>19</v>
      </c>
      <c r="C1034" s="3" t="str">
        <f>"徐言"</f>
        <v>徐言</v>
      </c>
      <c r="D1034" s="3" t="str">
        <f>"男"</f>
        <v>男</v>
      </c>
      <c r="E1034" s="3" t="str">
        <f>"2507013702"</f>
        <v>2507013702</v>
      </c>
      <c r="F1034" s="3" t="str">
        <f t="shared" si="107"/>
        <v>37</v>
      </c>
      <c r="G1034" s="4" t="str">
        <f>"02"</f>
        <v>02</v>
      </c>
      <c r="H1034" s="5">
        <v>40.1</v>
      </c>
      <c r="I1034" s="3"/>
    </row>
    <row r="1035" customHeight="1" spans="1:9">
      <c r="A1035" s="3" t="str">
        <f t="shared" si="106"/>
        <v>0105</v>
      </c>
      <c r="B1035" s="3" t="s">
        <v>19</v>
      </c>
      <c r="C1035" s="3" t="str">
        <f>"孟赟"</f>
        <v>孟赟</v>
      </c>
      <c r="D1035" s="3" t="str">
        <f>"女"</f>
        <v>女</v>
      </c>
      <c r="E1035" s="3" t="str">
        <f>"2507013703"</f>
        <v>2507013703</v>
      </c>
      <c r="F1035" s="3" t="str">
        <f t="shared" si="107"/>
        <v>37</v>
      </c>
      <c r="G1035" s="4" t="str">
        <f>"03"</f>
        <v>03</v>
      </c>
      <c r="H1035" s="5">
        <v>45.2</v>
      </c>
      <c r="I1035" s="3"/>
    </row>
    <row r="1036" customHeight="1" spans="1:9">
      <c r="A1036" s="3" t="str">
        <f t="shared" si="106"/>
        <v>0105</v>
      </c>
      <c r="B1036" s="3" t="s">
        <v>19</v>
      </c>
      <c r="C1036" s="3" t="str">
        <f>"王宁"</f>
        <v>王宁</v>
      </c>
      <c r="D1036" s="3" t="str">
        <f>"女"</f>
        <v>女</v>
      </c>
      <c r="E1036" s="3" t="str">
        <f>"2507013704"</f>
        <v>2507013704</v>
      </c>
      <c r="F1036" s="3" t="str">
        <f t="shared" si="107"/>
        <v>37</v>
      </c>
      <c r="G1036" s="4" t="str">
        <f>"04"</f>
        <v>04</v>
      </c>
      <c r="H1036" s="5">
        <v>61.4</v>
      </c>
      <c r="I1036" s="3"/>
    </row>
    <row r="1037" customHeight="1" spans="1:9">
      <c r="A1037" s="3" t="str">
        <f t="shared" si="106"/>
        <v>0105</v>
      </c>
      <c r="B1037" s="3" t="s">
        <v>19</v>
      </c>
      <c r="C1037" s="3" t="str">
        <f>"李泽羽"</f>
        <v>李泽羽</v>
      </c>
      <c r="D1037" s="3" t="str">
        <f>"男"</f>
        <v>男</v>
      </c>
      <c r="E1037" s="3" t="str">
        <f>"2507013705"</f>
        <v>2507013705</v>
      </c>
      <c r="F1037" s="3" t="str">
        <f t="shared" si="107"/>
        <v>37</v>
      </c>
      <c r="G1037" s="4" t="str">
        <f>"05"</f>
        <v>05</v>
      </c>
      <c r="H1037" s="5">
        <v>53.9</v>
      </c>
      <c r="I1037" s="3"/>
    </row>
    <row r="1038" customHeight="1" spans="1:9">
      <c r="A1038" s="3" t="str">
        <f t="shared" si="106"/>
        <v>0105</v>
      </c>
      <c r="B1038" s="3" t="s">
        <v>19</v>
      </c>
      <c r="C1038" s="3" t="str">
        <f>"郑思羽"</f>
        <v>郑思羽</v>
      </c>
      <c r="D1038" s="3" t="str">
        <f>"女"</f>
        <v>女</v>
      </c>
      <c r="E1038" s="3" t="str">
        <f>"2507013706"</f>
        <v>2507013706</v>
      </c>
      <c r="F1038" s="3" t="str">
        <f t="shared" si="107"/>
        <v>37</v>
      </c>
      <c r="G1038" s="4" t="str">
        <f>"06"</f>
        <v>06</v>
      </c>
      <c r="H1038" s="5">
        <v>0</v>
      </c>
      <c r="I1038" s="3" t="s">
        <v>11</v>
      </c>
    </row>
    <row r="1039" customHeight="1" spans="1:9">
      <c r="A1039" s="3" t="str">
        <f t="shared" si="106"/>
        <v>0105</v>
      </c>
      <c r="B1039" s="3" t="s">
        <v>19</v>
      </c>
      <c r="C1039" s="3" t="str">
        <f>"秦雨"</f>
        <v>秦雨</v>
      </c>
      <c r="D1039" s="3" t="str">
        <f>"男"</f>
        <v>男</v>
      </c>
      <c r="E1039" s="3" t="str">
        <f>"2507013707"</f>
        <v>2507013707</v>
      </c>
      <c r="F1039" s="3" t="str">
        <f t="shared" si="107"/>
        <v>37</v>
      </c>
      <c r="G1039" s="4" t="str">
        <f>"07"</f>
        <v>07</v>
      </c>
      <c r="H1039" s="5">
        <v>62.1</v>
      </c>
      <c r="I1039" s="3"/>
    </row>
    <row r="1040" customHeight="1" spans="1:9">
      <c r="A1040" s="3" t="str">
        <f t="shared" si="106"/>
        <v>0105</v>
      </c>
      <c r="B1040" s="3" t="s">
        <v>19</v>
      </c>
      <c r="C1040" s="3" t="str">
        <f>"焦书月"</f>
        <v>焦书月</v>
      </c>
      <c r="D1040" s="3" t="str">
        <f>"女"</f>
        <v>女</v>
      </c>
      <c r="E1040" s="3" t="str">
        <f>"2507013708"</f>
        <v>2507013708</v>
      </c>
      <c r="F1040" s="3" t="str">
        <f t="shared" si="107"/>
        <v>37</v>
      </c>
      <c r="G1040" s="4" t="str">
        <f>"08"</f>
        <v>08</v>
      </c>
      <c r="H1040" s="5">
        <v>40</v>
      </c>
      <c r="I1040" s="3"/>
    </row>
    <row r="1041" customHeight="1" spans="1:9">
      <c r="A1041" s="3" t="str">
        <f t="shared" si="106"/>
        <v>0105</v>
      </c>
      <c r="B1041" s="3" t="s">
        <v>19</v>
      </c>
      <c r="C1041" s="3" t="str">
        <f>"吴昕阳"</f>
        <v>吴昕阳</v>
      </c>
      <c r="D1041" s="3" t="str">
        <f>"男"</f>
        <v>男</v>
      </c>
      <c r="E1041" s="3" t="str">
        <f>"2507013709"</f>
        <v>2507013709</v>
      </c>
      <c r="F1041" s="3" t="str">
        <f t="shared" si="107"/>
        <v>37</v>
      </c>
      <c r="G1041" s="4" t="str">
        <f>"09"</f>
        <v>09</v>
      </c>
      <c r="H1041" s="5">
        <v>35.4</v>
      </c>
      <c r="I1041" s="3"/>
    </row>
    <row r="1042" customHeight="1" spans="1:9">
      <c r="A1042" s="3" t="str">
        <f t="shared" si="106"/>
        <v>0105</v>
      </c>
      <c r="B1042" s="3" t="s">
        <v>19</v>
      </c>
      <c r="C1042" s="3" t="str">
        <f>"王菲"</f>
        <v>王菲</v>
      </c>
      <c r="D1042" s="3" t="str">
        <f>"女"</f>
        <v>女</v>
      </c>
      <c r="E1042" s="3" t="str">
        <f>"2507013710"</f>
        <v>2507013710</v>
      </c>
      <c r="F1042" s="3" t="str">
        <f t="shared" si="107"/>
        <v>37</v>
      </c>
      <c r="G1042" s="4" t="str">
        <f>"10"</f>
        <v>10</v>
      </c>
      <c r="H1042" s="5">
        <v>46.8</v>
      </c>
      <c r="I1042" s="3"/>
    </row>
    <row r="1043" customHeight="1" spans="1:9">
      <c r="A1043" s="3" t="str">
        <f t="shared" si="106"/>
        <v>0105</v>
      </c>
      <c r="B1043" s="3" t="s">
        <v>19</v>
      </c>
      <c r="C1043" s="3" t="str">
        <f>"陈启蒙"</f>
        <v>陈启蒙</v>
      </c>
      <c r="D1043" s="3" t="str">
        <f>"男"</f>
        <v>男</v>
      </c>
      <c r="E1043" s="3" t="str">
        <f>"2507013711"</f>
        <v>2507013711</v>
      </c>
      <c r="F1043" s="3" t="str">
        <f t="shared" si="107"/>
        <v>37</v>
      </c>
      <c r="G1043" s="4" t="str">
        <f>"11"</f>
        <v>11</v>
      </c>
      <c r="H1043" s="5">
        <v>44</v>
      </c>
      <c r="I1043" s="3"/>
    </row>
    <row r="1044" customHeight="1" spans="1:9">
      <c r="A1044" s="3" t="str">
        <f t="shared" si="106"/>
        <v>0105</v>
      </c>
      <c r="B1044" s="3" t="s">
        <v>19</v>
      </c>
      <c r="C1044" s="3" t="str">
        <f>"祝琳琳"</f>
        <v>祝琳琳</v>
      </c>
      <c r="D1044" s="3" t="str">
        <f>"女"</f>
        <v>女</v>
      </c>
      <c r="E1044" s="3" t="str">
        <f>"2507013712"</f>
        <v>2507013712</v>
      </c>
      <c r="F1044" s="3" t="str">
        <f t="shared" si="107"/>
        <v>37</v>
      </c>
      <c r="G1044" s="4" t="str">
        <f>"12"</f>
        <v>12</v>
      </c>
      <c r="H1044" s="5">
        <v>0</v>
      </c>
      <c r="I1044" s="3" t="s">
        <v>11</v>
      </c>
    </row>
    <row r="1045" customHeight="1" spans="1:9">
      <c r="A1045" s="3" t="str">
        <f t="shared" si="106"/>
        <v>0105</v>
      </c>
      <c r="B1045" s="3" t="s">
        <v>19</v>
      </c>
      <c r="C1045" s="3" t="str">
        <f>"杜雨桐"</f>
        <v>杜雨桐</v>
      </c>
      <c r="D1045" s="3" t="str">
        <f>"女"</f>
        <v>女</v>
      </c>
      <c r="E1045" s="3" t="str">
        <f>"2507013713"</f>
        <v>2507013713</v>
      </c>
      <c r="F1045" s="3" t="str">
        <f t="shared" si="107"/>
        <v>37</v>
      </c>
      <c r="G1045" s="4" t="str">
        <f>"13"</f>
        <v>13</v>
      </c>
      <c r="H1045" s="5">
        <v>38.7</v>
      </c>
      <c r="I1045" s="3"/>
    </row>
    <row r="1046" customHeight="1" spans="1:9">
      <c r="A1046" s="3" t="str">
        <f t="shared" si="106"/>
        <v>0105</v>
      </c>
      <c r="B1046" s="3" t="s">
        <v>19</v>
      </c>
      <c r="C1046" s="3" t="str">
        <f>"刘晓然"</f>
        <v>刘晓然</v>
      </c>
      <c r="D1046" s="3" t="str">
        <f>"女"</f>
        <v>女</v>
      </c>
      <c r="E1046" s="3" t="str">
        <f>"2507013714"</f>
        <v>2507013714</v>
      </c>
      <c r="F1046" s="3" t="str">
        <f t="shared" si="107"/>
        <v>37</v>
      </c>
      <c r="G1046" s="4" t="str">
        <f>"14"</f>
        <v>14</v>
      </c>
      <c r="H1046" s="5">
        <v>56.2</v>
      </c>
      <c r="I1046" s="3"/>
    </row>
    <row r="1047" customHeight="1" spans="1:9">
      <c r="A1047" s="3" t="str">
        <f t="shared" si="106"/>
        <v>0105</v>
      </c>
      <c r="B1047" s="3" t="s">
        <v>19</v>
      </c>
      <c r="C1047" s="3" t="str">
        <f>"李佳龙"</f>
        <v>李佳龙</v>
      </c>
      <c r="D1047" s="3" t="str">
        <f>"男"</f>
        <v>男</v>
      </c>
      <c r="E1047" s="3" t="str">
        <f>"2507013715"</f>
        <v>2507013715</v>
      </c>
      <c r="F1047" s="3" t="str">
        <f t="shared" si="107"/>
        <v>37</v>
      </c>
      <c r="G1047" s="4" t="str">
        <f>"15"</f>
        <v>15</v>
      </c>
      <c r="H1047" s="5">
        <v>65.7</v>
      </c>
      <c r="I1047" s="3"/>
    </row>
    <row r="1048" customHeight="1" spans="1:9">
      <c r="A1048" s="3" t="str">
        <f t="shared" si="106"/>
        <v>0105</v>
      </c>
      <c r="B1048" s="3" t="s">
        <v>19</v>
      </c>
      <c r="C1048" s="3" t="str">
        <f>"李明楚"</f>
        <v>李明楚</v>
      </c>
      <c r="D1048" s="3" t="str">
        <f t="shared" ref="D1048:D1053" si="108">"女"</f>
        <v>女</v>
      </c>
      <c r="E1048" s="3" t="str">
        <f>"2507013716"</f>
        <v>2507013716</v>
      </c>
      <c r="F1048" s="3" t="str">
        <f t="shared" si="107"/>
        <v>37</v>
      </c>
      <c r="G1048" s="4" t="str">
        <f>"16"</f>
        <v>16</v>
      </c>
      <c r="H1048" s="5">
        <v>52.7</v>
      </c>
      <c r="I1048" s="3"/>
    </row>
    <row r="1049" customHeight="1" spans="1:9">
      <c r="A1049" s="3" t="str">
        <f t="shared" si="106"/>
        <v>0105</v>
      </c>
      <c r="B1049" s="3" t="s">
        <v>19</v>
      </c>
      <c r="C1049" s="3" t="str">
        <f>"盛萌萌"</f>
        <v>盛萌萌</v>
      </c>
      <c r="D1049" s="3" t="str">
        <f t="shared" si="108"/>
        <v>女</v>
      </c>
      <c r="E1049" s="3" t="str">
        <f>"2507013717"</f>
        <v>2507013717</v>
      </c>
      <c r="F1049" s="3" t="str">
        <f t="shared" si="107"/>
        <v>37</v>
      </c>
      <c r="G1049" s="4" t="str">
        <f>"17"</f>
        <v>17</v>
      </c>
      <c r="H1049" s="5">
        <v>62.5</v>
      </c>
      <c r="I1049" s="3"/>
    </row>
    <row r="1050" customHeight="1" spans="1:9">
      <c r="A1050" s="3" t="str">
        <f t="shared" si="106"/>
        <v>0105</v>
      </c>
      <c r="B1050" s="3" t="s">
        <v>19</v>
      </c>
      <c r="C1050" s="3" t="str">
        <f>"丁萍娉"</f>
        <v>丁萍娉</v>
      </c>
      <c r="D1050" s="3" t="str">
        <f t="shared" si="108"/>
        <v>女</v>
      </c>
      <c r="E1050" s="3" t="str">
        <f>"2507013718"</f>
        <v>2507013718</v>
      </c>
      <c r="F1050" s="3" t="str">
        <f t="shared" si="107"/>
        <v>37</v>
      </c>
      <c r="G1050" s="4" t="str">
        <f>"18"</f>
        <v>18</v>
      </c>
      <c r="H1050" s="5">
        <v>47.5</v>
      </c>
      <c r="I1050" s="3"/>
    </row>
    <row r="1051" customHeight="1" spans="1:9">
      <c r="A1051" s="3" t="str">
        <f t="shared" si="106"/>
        <v>0105</v>
      </c>
      <c r="B1051" s="3" t="s">
        <v>19</v>
      </c>
      <c r="C1051" s="3" t="str">
        <f>"李奕"</f>
        <v>李奕</v>
      </c>
      <c r="D1051" s="3" t="str">
        <f t="shared" si="108"/>
        <v>女</v>
      </c>
      <c r="E1051" s="3" t="str">
        <f>"2507013719"</f>
        <v>2507013719</v>
      </c>
      <c r="F1051" s="3" t="str">
        <f t="shared" si="107"/>
        <v>37</v>
      </c>
      <c r="G1051" s="4" t="str">
        <f>"19"</f>
        <v>19</v>
      </c>
      <c r="H1051" s="5">
        <v>69.2</v>
      </c>
      <c r="I1051" s="3"/>
    </row>
    <row r="1052" customHeight="1" spans="1:9">
      <c r="A1052" s="3" t="str">
        <f t="shared" si="106"/>
        <v>0105</v>
      </c>
      <c r="B1052" s="3" t="s">
        <v>19</v>
      </c>
      <c r="C1052" s="3" t="str">
        <f>"邓美凤"</f>
        <v>邓美凤</v>
      </c>
      <c r="D1052" s="3" t="str">
        <f t="shared" si="108"/>
        <v>女</v>
      </c>
      <c r="E1052" s="3" t="str">
        <f>"2507013720"</f>
        <v>2507013720</v>
      </c>
      <c r="F1052" s="3" t="str">
        <f t="shared" si="107"/>
        <v>37</v>
      </c>
      <c r="G1052" s="4" t="str">
        <f>"20"</f>
        <v>20</v>
      </c>
      <c r="H1052" s="5">
        <v>0</v>
      </c>
      <c r="I1052" s="3" t="s">
        <v>11</v>
      </c>
    </row>
    <row r="1053" customHeight="1" spans="1:9">
      <c r="A1053" s="3" t="str">
        <f t="shared" si="106"/>
        <v>0105</v>
      </c>
      <c r="B1053" s="3" t="s">
        <v>19</v>
      </c>
      <c r="C1053" s="3" t="str">
        <f>"路雯"</f>
        <v>路雯</v>
      </c>
      <c r="D1053" s="3" t="str">
        <f t="shared" si="108"/>
        <v>女</v>
      </c>
      <c r="E1053" s="3" t="str">
        <f>"2507013721"</f>
        <v>2507013721</v>
      </c>
      <c r="F1053" s="3" t="str">
        <f t="shared" si="107"/>
        <v>37</v>
      </c>
      <c r="G1053" s="4" t="str">
        <f>"21"</f>
        <v>21</v>
      </c>
      <c r="H1053" s="5">
        <v>69.6</v>
      </c>
      <c r="I1053" s="3"/>
    </row>
    <row r="1054" customHeight="1" spans="1:9">
      <c r="A1054" s="3" t="str">
        <f t="shared" si="106"/>
        <v>0105</v>
      </c>
      <c r="B1054" s="3" t="s">
        <v>19</v>
      </c>
      <c r="C1054" s="3" t="str">
        <f>"程路然"</f>
        <v>程路然</v>
      </c>
      <c r="D1054" s="3" t="str">
        <f>"男"</f>
        <v>男</v>
      </c>
      <c r="E1054" s="3" t="str">
        <f>"2507013722"</f>
        <v>2507013722</v>
      </c>
      <c r="F1054" s="3" t="str">
        <f t="shared" si="107"/>
        <v>37</v>
      </c>
      <c r="G1054" s="4" t="str">
        <f>"22"</f>
        <v>22</v>
      </c>
      <c r="H1054" s="5">
        <v>36</v>
      </c>
      <c r="I1054" s="3"/>
    </row>
    <row r="1055" customHeight="1" spans="1:9">
      <c r="A1055" s="3" t="str">
        <f t="shared" si="106"/>
        <v>0105</v>
      </c>
      <c r="B1055" s="3" t="s">
        <v>19</v>
      </c>
      <c r="C1055" s="3" t="str">
        <f>"王宇洋"</f>
        <v>王宇洋</v>
      </c>
      <c r="D1055" s="3" t="str">
        <f>"男"</f>
        <v>男</v>
      </c>
      <c r="E1055" s="3" t="str">
        <f>"2507013723"</f>
        <v>2507013723</v>
      </c>
      <c r="F1055" s="3" t="str">
        <f t="shared" si="107"/>
        <v>37</v>
      </c>
      <c r="G1055" s="4" t="str">
        <f>"23"</f>
        <v>23</v>
      </c>
      <c r="H1055" s="5">
        <v>48.1</v>
      </c>
      <c r="I1055" s="3"/>
    </row>
    <row r="1056" customHeight="1" spans="1:9">
      <c r="A1056" s="3" t="str">
        <f t="shared" si="106"/>
        <v>0105</v>
      </c>
      <c r="B1056" s="3" t="s">
        <v>19</v>
      </c>
      <c r="C1056" s="3" t="str">
        <f>"王雅然"</f>
        <v>王雅然</v>
      </c>
      <c r="D1056" s="3" t="str">
        <f>"女"</f>
        <v>女</v>
      </c>
      <c r="E1056" s="3" t="str">
        <f>"2507013724"</f>
        <v>2507013724</v>
      </c>
      <c r="F1056" s="3" t="str">
        <f t="shared" si="107"/>
        <v>37</v>
      </c>
      <c r="G1056" s="4" t="str">
        <f>"24"</f>
        <v>24</v>
      </c>
      <c r="H1056" s="5">
        <v>54.9</v>
      </c>
      <c r="I1056" s="3"/>
    </row>
    <row r="1057" customHeight="1" spans="1:9">
      <c r="A1057" s="3" t="str">
        <f t="shared" si="106"/>
        <v>0105</v>
      </c>
      <c r="B1057" s="3" t="s">
        <v>19</v>
      </c>
      <c r="C1057" s="3" t="str">
        <f>"索毓婧"</f>
        <v>索毓婧</v>
      </c>
      <c r="D1057" s="3" t="str">
        <f>"女"</f>
        <v>女</v>
      </c>
      <c r="E1057" s="3" t="str">
        <f>"2507013725"</f>
        <v>2507013725</v>
      </c>
      <c r="F1057" s="3" t="str">
        <f t="shared" si="107"/>
        <v>37</v>
      </c>
      <c r="G1057" s="4" t="str">
        <f>"25"</f>
        <v>25</v>
      </c>
      <c r="H1057" s="5">
        <v>62.1</v>
      </c>
      <c r="I1057" s="3"/>
    </row>
    <row r="1058" customHeight="1" spans="1:9">
      <c r="A1058" s="3" t="str">
        <f t="shared" si="106"/>
        <v>0105</v>
      </c>
      <c r="B1058" s="3" t="s">
        <v>19</v>
      </c>
      <c r="C1058" s="3" t="str">
        <f>"沈川佳卉"</f>
        <v>沈川佳卉</v>
      </c>
      <c r="D1058" s="3" t="str">
        <f>"女"</f>
        <v>女</v>
      </c>
      <c r="E1058" s="3" t="str">
        <f>"2507013726"</f>
        <v>2507013726</v>
      </c>
      <c r="F1058" s="3" t="str">
        <f t="shared" si="107"/>
        <v>37</v>
      </c>
      <c r="G1058" s="4" t="str">
        <f>"26"</f>
        <v>26</v>
      </c>
      <c r="H1058" s="5">
        <v>60.8</v>
      </c>
      <c r="I1058" s="3"/>
    </row>
    <row r="1059" customHeight="1" spans="1:9">
      <c r="A1059" s="3" t="str">
        <f t="shared" si="106"/>
        <v>0105</v>
      </c>
      <c r="B1059" s="3" t="s">
        <v>19</v>
      </c>
      <c r="C1059" s="3" t="str">
        <f>"傅响响"</f>
        <v>傅响响</v>
      </c>
      <c r="D1059" s="3" t="str">
        <f>"男"</f>
        <v>男</v>
      </c>
      <c r="E1059" s="3" t="str">
        <f>"2507013727"</f>
        <v>2507013727</v>
      </c>
      <c r="F1059" s="3" t="str">
        <f t="shared" si="107"/>
        <v>37</v>
      </c>
      <c r="G1059" s="4" t="str">
        <f>"27"</f>
        <v>27</v>
      </c>
      <c r="H1059" s="5">
        <v>51.8</v>
      </c>
      <c r="I1059" s="3"/>
    </row>
    <row r="1060" customHeight="1" spans="1:9">
      <c r="A1060" s="3" t="str">
        <f t="shared" si="106"/>
        <v>0105</v>
      </c>
      <c r="B1060" s="3" t="s">
        <v>19</v>
      </c>
      <c r="C1060" s="3" t="str">
        <f>"邵明宇"</f>
        <v>邵明宇</v>
      </c>
      <c r="D1060" s="3" t="str">
        <f>"男"</f>
        <v>男</v>
      </c>
      <c r="E1060" s="3" t="str">
        <f>"2507013728"</f>
        <v>2507013728</v>
      </c>
      <c r="F1060" s="3" t="str">
        <f t="shared" si="107"/>
        <v>37</v>
      </c>
      <c r="G1060" s="4" t="str">
        <f>"28"</f>
        <v>28</v>
      </c>
      <c r="H1060" s="5">
        <v>69.1</v>
      </c>
      <c r="I1060" s="3"/>
    </row>
    <row r="1061" customHeight="1" spans="1:9">
      <c r="A1061" s="3" t="str">
        <f t="shared" si="106"/>
        <v>0105</v>
      </c>
      <c r="B1061" s="3" t="s">
        <v>19</v>
      </c>
      <c r="C1061" s="3" t="str">
        <f>"刘子汉"</f>
        <v>刘子汉</v>
      </c>
      <c r="D1061" s="3" t="str">
        <f>"男"</f>
        <v>男</v>
      </c>
      <c r="E1061" s="3" t="str">
        <f>"2507013729"</f>
        <v>2507013729</v>
      </c>
      <c r="F1061" s="3" t="str">
        <f t="shared" si="107"/>
        <v>37</v>
      </c>
      <c r="G1061" s="4" t="str">
        <f>"29"</f>
        <v>29</v>
      </c>
      <c r="H1061" s="5">
        <v>68.3</v>
      </c>
      <c r="I1061" s="3"/>
    </row>
    <row r="1062" customHeight="1" spans="1:9">
      <c r="A1062" s="3" t="str">
        <f t="shared" si="106"/>
        <v>0105</v>
      </c>
      <c r="B1062" s="3" t="s">
        <v>19</v>
      </c>
      <c r="C1062" s="3" t="str">
        <f>"吴开元"</f>
        <v>吴开元</v>
      </c>
      <c r="D1062" s="3" t="str">
        <f>"男"</f>
        <v>男</v>
      </c>
      <c r="E1062" s="3" t="str">
        <f>"2507013730"</f>
        <v>2507013730</v>
      </c>
      <c r="F1062" s="3" t="str">
        <f t="shared" si="107"/>
        <v>37</v>
      </c>
      <c r="G1062" s="4" t="str">
        <f>"30"</f>
        <v>30</v>
      </c>
      <c r="H1062" s="5">
        <v>51.8</v>
      </c>
      <c r="I1062" s="3"/>
    </row>
    <row r="1063" customHeight="1" spans="1:9">
      <c r="A1063" s="3" t="str">
        <f t="shared" si="106"/>
        <v>0105</v>
      </c>
      <c r="B1063" s="3" t="s">
        <v>19</v>
      </c>
      <c r="C1063" s="3" t="str">
        <f>"王建硕"</f>
        <v>王建硕</v>
      </c>
      <c r="D1063" s="3" t="str">
        <f>"男"</f>
        <v>男</v>
      </c>
      <c r="E1063" s="3" t="str">
        <f>"2507013801"</f>
        <v>2507013801</v>
      </c>
      <c r="F1063" s="3" t="str">
        <f t="shared" ref="F1063:F1092" si="109">"38"</f>
        <v>38</v>
      </c>
      <c r="G1063" s="4" t="str">
        <f>"01"</f>
        <v>01</v>
      </c>
      <c r="H1063" s="5">
        <v>0</v>
      </c>
      <c r="I1063" s="3" t="s">
        <v>11</v>
      </c>
    </row>
    <row r="1064" customHeight="1" spans="1:9">
      <c r="A1064" s="3" t="str">
        <f t="shared" si="106"/>
        <v>0105</v>
      </c>
      <c r="B1064" s="3" t="s">
        <v>19</v>
      </c>
      <c r="C1064" s="3" t="str">
        <f>"杨菲"</f>
        <v>杨菲</v>
      </c>
      <c r="D1064" s="3" t="str">
        <f>"女"</f>
        <v>女</v>
      </c>
      <c r="E1064" s="3" t="str">
        <f>"2507013802"</f>
        <v>2507013802</v>
      </c>
      <c r="F1064" s="3" t="str">
        <f t="shared" si="109"/>
        <v>38</v>
      </c>
      <c r="G1064" s="4" t="str">
        <f>"02"</f>
        <v>02</v>
      </c>
      <c r="H1064" s="5">
        <v>0</v>
      </c>
      <c r="I1064" s="3" t="s">
        <v>11</v>
      </c>
    </row>
    <row r="1065" customHeight="1" spans="1:9">
      <c r="A1065" s="3" t="str">
        <f t="shared" si="106"/>
        <v>0105</v>
      </c>
      <c r="B1065" s="3" t="s">
        <v>19</v>
      </c>
      <c r="C1065" s="3" t="str">
        <f>"王舒涵"</f>
        <v>王舒涵</v>
      </c>
      <c r="D1065" s="3" t="str">
        <f>"女"</f>
        <v>女</v>
      </c>
      <c r="E1065" s="3" t="str">
        <f>"2507013803"</f>
        <v>2507013803</v>
      </c>
      <c r="F1065" s="3" t="str">
        <f t="shared" si="109"/>
        <v>38</v>
      </c>
      <c r="G1065" s="4" t="str">
        <f>"03"</f>
        <v>03</v>
      </c>
      <c r="H1065" s="5">
        <v>52</v>
      </c>
      <c r="I1065" s="3"/>
    </row>
    <row r="1066" customHeight="1" spans="1:9">
      <c r="A1066" s="3" t="str">
        <f t="shared" si="106"/>
        <v>0105</v>
      </c>
      <c r="B1066" s="3" t="s">
        <v>19</v>
      </c>
      <c r="C1066" s="3" t="str">
        <f>"李嘉怡"</f>
        <v>李嘉怡</v>
      </c>
      <c r="D1066" s="3" t="str">
        <f>"女"</f>
        <v>女</v>
      </c>
      <c r="E1066" s="3" t="str">
        <f>"2507013804"</f>
        <v>2507013804</v>
      </c>
      <c r="F1066" s="3" t="str">
        <f t="shared" si="109"/>
        <v>38</v>
      </c>
      <c r="G1066" s="4" t="str">
        <f>"04"</f>
        <v>04</v>
      </c>
      <c r="H1066" s="5">
        <v>54.8</v>
      </c>
      <c r="I1066" s="3"/>
    </row>
    <row r="1067" customHeight="1" spans="1:9">
      <c r="A1067" s="3" t="str">
        <f t="shared" si="106"/>
        <v>0105</v>
      </c>
      <c r="B1067" s="3" t="s">
        <v>19</v>
      </c>
      <c r="C1067" s="3" t="str">
        <f>"石婉莹"</f>
        <v>石婉莹</v>
      </c>
      <c r="D1067" s="3" t="str">
        <f>"女"</f>
        <v>女</v>
      </c>
      <c r="E1067" s="3" t="str">
        <f>"2507013805"</f>
        <v>2507013805</v>
      </c>
      <c r="F1067" s="3" t="str">
        <f t="shared" si="109"/>
        <v>38</v>
      </c>
      <c r="G1067" s="4" t="str">
        <f>"05"</f>
        <v>05</v>
      </c>
      <c r="H1067" s="5">
        <v>0</v>
      </c>
      <c r="I1067" s="3" t="s">
        <v>11</v>
      </c>
    </row>
    <row r="1068" customHeight="1" spans="1:9">
      <c r="A1068" s="3" t="str">
        <f t="shared" si="106"/>
        <v>0105</v>
      </c>
      <c r="B1068" s="3" t="s">
        <v>19</v>
      </c>
      <c r="C1068" s="3" t="str">
        <f>"蔡梦宁"</f>
        <v>蔡梦宁</v>
      </c>
      <c r="D1068" s="3" t="str">
        <f>"女"</f>
        <v>女</v>
      </c>
      <c r="E1068" s="3" t="str">
        <f>"2507013806"</f>
        <v>2507013806</v>
      </c>
      <c r="F1068" s="3" t="str">
        <f t="shared" si="109"/>
        <v>38</v>
      </c>
      <c r="G1068" s="4" t="str">
        <f>"06"</f>
        <v>06</v>
      </c>
      <c r="H1068" s="5">
        <v>0</v>
      </c>
      <c r="I1068" s="3" t="s">
        <v>11</v>
      </c>
    </row>
    <row r="1069" customHeight="1" spans="1:9">
      <c r="A1069" s="3" t="str">
        <f t="shared" si="106"/>
        <v>0105</v>
      </c>
      <c r="B1069" s="3" t="s">
        <v>19</v>
      </c>
      <c r="C1069" s="3" t="str">
        <f>"夏磊"</f>
        <v>夏磊</v>
      </c>
      <c r="D1069" s="3" t="str">
        <f>"男"</f>
        <v>男</v>
      </c>
      <c r="E1069" s="3" t="str">
        <f>"2507013807"</f>
        <v>2507013807</v>
      </c>
      <c r="F1069" s="3" t="str">
        <f t="shared" si="109"/>
        <v>38</v>
      </c>
      <c r="G1069" s="4" t="str">
        <f>"07"</f>
        <v>07</v>
      </c>
      <c r="H1069" s="5">
        <v>57.2</v>
      </c>
      <c r="I1069" s="3"/>
    </row>
    <row r="1070" customHeight="1" spans="1:9">
      <c r="A1070" s="3" t="str">
        <f t="shared" si="106"/>
        <v>0105</v>
      </c>
      <c r="B1070" s="3" t="s">
        <v>19</v>
      </c>
      <c r="C1070" s="3" t="str">
        <f>"任珂"</f>
        <v>任珂</v>
      </c>
      <c r="D1070" s="3" t="str">
        <f t="shared" ref="D1070:D1075" si="110">"女"</f>
        <v>女</v>
      </c>
      <c r="E1070" s="3" t="str">
        <f>"2507013808"</f>
        <v>2507013808</v>
      </c>
      <c r="F1070" s="3" t="str">
        <f t="shared" si="109"/>
        <v>38</v>
      </c>
      <c r="G1070" s="4" t="str">
        <f>"08"</f>
        <v>08</v>
      </c>
      <c r="H1070" s="5">
        <v>0</v>
      </c>
      <c r="I1070" s="3" t="s">
        <v>11</v>
      </c>
    </row>
    <row r="1071" customHeight="1" spans="1:9">
      <c r="A1071" s="3" t="str">
        <f t="shared" si="106"/>
        <v>0105</v>
      </c>
      <c r="B1071" s="3" t="s">
        <v>19</v>
      </c>
      <c r="C1071" s="3" t="str">
        <f>"魏雨婷"</f>
        <v>魏雨婷</v>
      </c>
      <c r="D1071" s="3" t="str">
        <f t="shared" si="110"/>
        <v>女</v>
      </c>
      <c r="E1071" s="3" t="str">
        <f>"2507013809"</f>
        <v>2507013809</v>
      </c>
      <c r="F1071" s="3" t="str">
        <f t="shared" si="109"/>
        <v>38</v>
      </c>
      <c r="G1071" s="4" t="str">
        <f>"09"</f>
        <v>09</v>
      </c>
      <c r="H1071" s="5">
        <v>44</v>
      </c>
      <c r="I1071" s="3"/>
    </row>
    <row r="1072" customHeight="1" spans="1:9">
      <c r="A1072" s="3" t="str">
        <f t="shared" si="106"/>
        <v>0105</v>
      </c>
      <c r="B1072" s="3" t="s">
        <v>19</v>
      </c>
      <c r="C1072" s="3" t="str">
        <f>"李睿谞"</f>
        <v>李睿谞</v>
      </c>
      <c r="D1072" s="3" t="str">
        <f t="shared" si="110"/>
        <v>女</v>
      </c>
      <c r="E1072" s="3" t="str">
        <f>"2507013810"</f>
        <v>2507013810</v>
      </c>
      <c r="F1072" s="3" t="str">
        <f t="shared" si="109"/>
        <v>38</v>
      </c>
      <c r="G1072" s="4" t="str">
        <f>"10"</f>
        <v>10</v>
      </c>
      <c r="H1072" s="5">
        <v>65.7</v>
      </c>
      <c r="I1072" s="3"/>
    </row>
    <row r="1073" customHeight="1" spans="1:9">
      <c r="A1073" s="3" t="str">
        <f t="shared" si="106"/>
        <v>0105</v>
      </c>
      <c r="B1073" s="3" t="s">
        <v>19</v>
      </c>
      <c r="C1073" s="3" t="str">
        <f>"胡德馨"</f>
        <v>胡德馨</v>
      </c>
      <c r="D1073" s="3" t="str">
        <f t="shared" si="110"/>
        <v>女</v>
      </c>
      <c r="E1073" s="3" t="str">
        <f>"2507013811"</f>
        <v>2507013811</v>
      </c>
      <c r="F1073" s="3" t="str">
        <f t="shared" si="109"/>
        <v>38</v>
      </c>
      <c r="G1073" s="4" t="str">
        <f>"11"</f>
        <v>11</v>
      </c>
      <c r="H1073" s="5">
        <v>60.6</v>
      </c>
      <c r="I1073" s="3"/>
    </row>
    <row r="1074" customHeight="1" spans="1:9">
      <c r="A1074" s="3" t="str">
        <f t="shared" si="106"/>
        <v>0105</v>
      </c>
      <c r="B1074" s="3" t="s">
        <v>19</v>
      </c>
      <c r="C1074" s="3" t="str">
        <f>"于欣荷"</f>
        <v>于欣荷</v>
      </c>
      <c r="D1074" s="3" t="str">
        <f t="shared" si="110"/>
        <v>女</v>
      </c>
      <c r="E1074" s="3" t="str">
        <f>"2507013812"</f>
        <v>2507013812</v>
      </c>
      <c r="F1074" s="3" t="str">
        <f t="shared" si="109"/>
        <v>38</v>
      </c>
      <c r="G1074" s="4" t="str">
        <f>"12"</f>
        <v>12</v>
      </c>
      <c r="H1074" s="5">
        <v>0</v>
      </c>
      <c r="I1074" s="3" t="s">
        <v>11</v>
      </c>
    </row>
    <row r="1075" customHeight="1" spans="1:9">
      <c r="A1075" s="3" t="str">
        <f t="shared" si="106"/>
        <v>0105</v>
      </c>
      <c r="B1075" s="3" t="s">
        <v>19</v>
      </c>
      <c r="C1075" s="3" t="str">
        <f>"郭丽媛"</f>
        <v>郭丽媛</v>
      </c>
      <c r="D1075" s="3" t="str">
        <f t="shared" si="110"/>
        <v>女</v>
      </c>
      <c r="E1075" s="3" t="str">
        <f>"2507013813"</f>
        <v>2507013813</v>
      </c>
      <c r="F1075" s="3" t="str">
        <f t="shared" si="109"/>
        <v>38</v>
      </c>
      <c r="G1075" s="4" t="str">
        <f>"13"</f>
        <v>13</v>
      </c>
      <c r="H1075" s="5">
        <v>51.1</v>
      </c>
      <c r="I1075" s="3"/>
    </row>
    <row r="1076" customHeight="1" spans="1:9">
      <c r="A1076" s="3" t="str">
        <f t="shared" si="106"/>
        <v>0105</v>
      </c>
      <c r="B1076" s="3" t="s">
        <v>19</v>
      </c>
      <c r="C1076" s="3" t="str">
        <f>"张豪杰"</f>
        <v>张豪杰</v>
      </c>
      <c r="D1076" s="3" t="str">
        <f>"男"</f>
        <v>男</v>
      </c>
      <c r="E1076" s="3" t="str">
        <f>"2507013814"</f>
        <v>2507013814</v>
      </c>
      <c r="F1076" s="3" t="str">
        <f t="shared" si="109"/>
        <v>38</v>
      </c>
      <c r="G1076" s="4" t="str">
        <f>"14"</f>
        <v>14</v>
      </c>
      <c r="H1076" s="5">
        <v>0</v>
      </c>
      <c r="I1076" s="3" t="s">
        <v>11</v>
      </c>
    </row>
    <row r="1077" customHeight="1" spans="1:9">
      <c r="A1077" s="3" t="str">
        <f t="shared" si="106"/>
        <v>0105</v>
      </c>
      <c r="B1077" s="3" t="s">
        <v>19</v>
      </c>
      <c r="C1077" s="3" t="str">
        <f>"李梦然"</f>
        <v>李梦然</v>
      </c>
      <c r="D1077" s="3" t="str">
        <f t="shared" ref="D1077:D1084" si="111">"女"</f>
        <v>女</v>
      </c>
      <c r="E1077" s="3" t="str">
        <f>"2507013815"</f>
        <v>2507013815</v>
      </c>
      <c r="F1077" s="3" t="str">
        <f t="shared" si="109"/>
        <v>38</v>
      </c>
      <c r="G1077" s="4" t="str">
        <f>"15"</f>
        <v>15</v>
      </c>
      <c r="H1077" s="5">
        <v>58.2</v>
      </c>
      <c r="I1077" s="3"/>
    </row>
    <row r="1078" customHeight="1" spans="1:9">
      <c r="A1078" s="3" t="str">
        <f t="shared" si="106"/>
        <v>0105</v>
      </c>
      <c r="B1078" s="3" t="s">
        <v>19</v>
      </c>
      <c r="C1078" s="3" t="str">
        <f>"王孟"</f>
        <v>王孟</v>
      </c>
      <c r="D1078" s="3" t="str">
        <f t="shared" si="111"/>
        <v>女</v>
      </c>
      <c r="E1078" s="3" t="str">
        <f>"2507013816"</f>
        <v>2507013816</v>
      </c>
      <c r="F1078" s="3" t="str">
        <f t="shared" si="109"/>
        <v>38</v>
      </c>
      <c r="G1078" s="4" t="str">
        <f>"16"</f>
        <v>16</v>
      </c>
      <c r="H1078" s="5">
        <v>53.5</v>
      </c>
      <c r="I1078" s="3"/>
    </row>
    <row r="1079" customHeight="1" spans="1:9">
      <c r="A1079" s="3" t="str">
        <f t="shared" si="106"/>
        <v>0105</v>
      </c>
      <c r="B1079" s="3" t="s">
        <v>19</v>
      </c>
      <c r="C1079" s="3" t="str">
        <f>"程韵闻"</f>
        <v>程韵闻</v>
      </c>
      <c r="D1079" s="3" t="str">
        <f t="shared" si="111"/>
        <v>女</v>
      </c>
      <c r="E1079" s="3" t="str">
        <f>"2507013817"</f>
        <v>2507013817</v>
      </c>
      <c r="F1079" s="3" t="str">
        <f t="shared" si="109"/>
        <v>38</v>
      </c>
      <c r="G1079" s="4" t="str">
        <f>"17"</f>
        <v>17</v>
      </c>
      <c r="H1079" s="5">
        <v>0</v>
      </c>
      <c r="I1079" s="3" t="s">
        <v>11</v>
      </c>
    </row>
    <row r="1080" customHeight="1" spans="1:9">
      <c r="A1080" s="3" t="str">
        <f t="shared" si="106"/>
        <v>0105</v>
      </c>
      <c r="B1080" s="3" t="s">
        <v>19</v>
      </c>
      <c r="C1080" s="3" t="str">
        <f>"黄丽婷"</f>
        <v>黄丽婷</v>
      </c>
      <c r="D1080" s="3" t="str">
        <f t="shared" si="111"/>
        <v>女</v>
      </c>
      <c r="E1080" s="3" t="str">
        <f>"2507013818"</f>
        <v>2507013818</v>
      </c>
      <c r="F1080" s="3" t="str">
        <f t="shared" si="109"/>
        <v>38</v>
      </c>
      <c r="G1080" s="4" t="str">
        <f>"18"</f>
        <v>18</v>
      </c>
      <c r="H1080" s="5">
        <v>62.8</v>
      </c>
      <c r="I1080" s="3"/>
    </row>
    <row r="1081" customHeight="1" spans="1:9">
      <c r="A1081" s="3" t="str">
        <f t="shared" si="106"/>
        <v>0105</v>
      </c>
      <c r="B1081" s="3" t="s">
        <v>19</v>
      </c>
      <c r="C1081" s="3" t="str">
        <f>"刘豫琦"</f>
        <v>刘豫琦</v>
      </c>
      <c r="D1081" s="3" t="str">
        <f t="shared" si="111"/>
        <v>女</v>
      </c>
      <c r="E1081" s="3" t="str">
        <f>"2507013819"</f>
        <v>2507013819</v>
      </c>
      <c r="F1081" s="3" t="str">
        <f t="shared" si="109"/>
        <v>38</v>
      </c>
      <c r="G1081" s="4" t="str">
        <f>"19"</f>
        <v>19</v>
      </c>
      <c r="H1081" s="5">
        <v>42.5</v>
      </c>
      <c r="I1081" s="3"/>
    </row>
    <row r="1082" customHeight="1" spans="1:9">
      <c r="A1082" s="3" t="str">
        <f t="shared" si="106"/>
        <v>0105</v>
      </c>
      <c r="B1082" s="3" t="s">
        <v>19</v>
      </c>
      <c r="C1082" s="3" t="str">
        <f>"李仁筠"</f>
        <v>李仁筠</v>
      </c>
      <c r="D1082" s="3" t="str">
        <f t="shared" si="111"/>
        <v>女</v>
      </c>
      <c r="E1082" s="3" t="str">
        <f>"2507013820"</f>
        <v>2507013820</v>
      </c>
      <c r="F1082" s="3" t="str">
        <f t="shared" si="109"/>
        <v>38</v>
      </c>
      <c r="G1082" s="4" t="str">
        <f>"20"</f>
        <v>20</v>
      </c>
      <c r="H1082" s="5">
        <v>58</v>
      </c>
      <c r="I1082" s="3"/>
    </row>
    <row r="1083" customHeight="1" spans="1:9">
      <c r="A1083" s="3" t="str">
        <f t="shared" si="106"/>
        <v>0105</v>
      </c>
      <c r="B1083" s="3" t="s">
        <v>19</v>
      </c>
      <c r="C1083" s="3" t="str">
        <f>"卢冰晨"</f>
        <v>卢冰晨</v>
      </c>
      <c r="D1083" s="3" t="str">
        <f t="shared" si="111"/>
        <v>女</v>
      </c>
      <c r="E1083" s="3" t="str">
        <f>"2507013821"</f>
        <v>2507013821</v>
      </c>
      <c r="F1083" s="3" t="str">
        <f t="shared" si="109"/>
        <v>38</v>
      </c>
      <c r="G1083" s="4" t="str">
        <f>"21"</f>
        <v>21</v>
      </c>
      <c r="H1083" s="5">
        <v>37.8</v>
      </c>
      <c r="I1083" s="3"/>
    </row>
    <row r="1084" customHeight="1" spans="1:9">
      <c r="A1084" s="3" t="str">
        <f t="shared" si="106"/>
        <v>0105</v>
      </c>
      <c r="B1084" s="3" t="s">
        <v>19</v>
      </c>
      <c r="C1084" s="3" t="str">
        <f>"许颖"</f>
        <v>许颖</v>
      </c>
      <c r="D1084" s="3" t="str">
        <f t="shared" si="111"/>
        <v>女</v>
      </c>
      <c r="E1084" s="3" t="str">
        <f>"2507013822"</f>
        <v>2507013822</v>
      </c>
      <c r="F1084" s="3" t="str">
        <f t="shared" si="109"/>
        <v>38</v>
      </c>
      <c r="G1084" s="4" t="str">
        <f>"22"</f>
        <v>22</v>
      </c>
      <c r="H1084" s="5">
        <v>62.4</v>
      </c>
      <c r="I1084" s="3"/>
    </row>
    <row r="1085" customHeight="1" spans="1:9">
      <c r="A1085" s="3" t="str">
        <f t="shared" si="106"/>
        <v>0105</v>
      </c>
      <c r="B1085" s="3" t="s">
        <v>19</v>
      </c>
      <c r="C1085" s="3" t="str">
        <f>"高升"</f>
        <v>高升</v>
      </c>
      <c r="D1085" s="3" t="str">
        <f>"男"</f>
        <v>男</v>
      </c>
      <c r="E1085" s="3" t="str">
        <f>"2507013823"</f>
        <v>2507013823</v>
      </c>
      <c r="F1085" s="3" t="str">
        <f t="shared" si="109"/>
        <v>38</v>
      </c>
      <c r="G1085" s="4" t="str">
        <f>"23"</f>
        <v>23</v>
      </c>
      <c r="H1085" s="5">
        <v>0</v>
      </c>
      <c r="I1085" s="3" t="s">
        <v>11</v>
      </c>
    </row>
    <row r="1086" customHeight="1" spans="1:9">
      <c r="A1086" s="3" t="str">
        <f t="shared" si="106"/>
        <v>0105</v>
      </c>
      <c r="B1086" s="3" t="s">
        <v>19</v>
      </c>
      <c r="C1086" s="3" t="str">
        <f>"缪秋雨"</f>
        <v>缪秋雨</v>
      </c>
      <c r="D1086" s="3" t="str">
        <f t="shared" ref="D1086:D1091" si="112">"女"</f>
        <v>女</v>
      </c>
      <c r="E1086" s="3" t="str">
        <f>"2507013824"</f>
        <v>2507013824</v>
      </c>
      <c r="F1086" s="3" t="str">
        <f t="shared" si="109"/>
        <v>38</v>
      </c>
      <c r="G1086" s="4" t="str">
        <f>"24"</f>
        <v>24</v>
      </c>
      <c r="H1086" s="5">
        <v>46.3</v>
      </c>
      <c r="I1086" s="3"/>
    </row>
    <row r="1087" customHeight="1" spans="1:9">
      <c r="A1087" s="3" t="str">
        <f t="shared" si="106"/>
        <v>0105</v>
      </c>
      <c r="B1087" s="3" t="s">
        <v>19</v>
      </c>
      <c r="C1087" s="3" t="str">
        <f>"王春丽"</f>
        <v>王春丽</v>
      </c>
      <c r="D1087" s="3" t="str">
        <f t="shared" si="112"/>
        <v>女</v>
      </c>
      <c r="E1087" s="3" t="str">
        <f>"2507013825"</f>
        <v>2507013825</v>
      </c>
      <c r="F1087" s="3" t="str">
        <f t="shared" si="109"/>
        <v>38</v>
      </c>
      <c r="G1087" s="4" t="str">
        <f>"25"</f>
        <v>25</v>
      </c>
      <c r="H1087" s="5">
        <v>56.1</v>
      </c>
      <c r="I1087" s="3"/>
    </row>
    <row r="1088" customHeight="1" spans="1:9">
      <c r="A1088" s="3" t="str">
        <f t="shared" si="106"/>
        <v>0105</v>
      </c>
      <c r="B1088" s="3" t="s">
        <v>19</v>
      </c>
      <c r="C1088" s="3" t="str">
        <f>"王艺洁"</f>
        <v>王艺洁</v>
      </c>
      <c r="D1088" s="3" t="str">
        <f t="shared" si="112"/>
        <v>女</v>
      </c>
      <c r="E1088" s="3" t="str">
        <f>"2507013826"</f>
        <v>2507013826</v>
      </c>
      <c r="F1088" s="3" t="str">
        <f t="shared" si="109"/>
        <v>38</v>
      </c>
      <c r="G1088" s="4" t="str">
        <f>"26"</f>
        <v>26</v>
      </c>
      <c r="H1088" s="5">
        <v>55.2</v>
      </c>
      <c r="I1088" s="3"/>
    </row>
    <row r="1089" customHeight="1" spans="1:9">
      <c r="A1089" s="3" t="str">
        <f t="shared" si="106"/>
        <v>0105</v>
      </c>
      <c r="B1089" s="3" t="s">
        <v>19</v>
      </c>
      <c r="C1089" s="3" t="str">
        <f>"李紫琪"</f>
        <v>李紫琪</v>
      </c>
      <c r="D1089" s="3" t="str">
        <f t="shared" si="112"/>
        <v>女</v>
      </c>
      <c r="E1089" s="3" t="str">
        <f>"2507013827"</f>
        <v>2507013827</v>
      </c>
      <c r="F1089" s="3" t="str">
        <f t="shared" si="109"/>
        <v>38</v>
      </c>
      <c r="G1089" s="4" t="str">
        <f>"27"</f>
        <v>27</v>
      </c>
      <c r="H1089" s="5">
        <v>54.8</v>
      </c>
      <c r="I1089" s="3"/>
    </row>
    <row r="1090" customHeight="1" spans="1:9">
      <c r="A1090" s="3" t="str">
        <f t="shared" si="106"/>
        <v>0105</v>
      </c>
      <c r="B1090" s="3" t="s">
        <v>19</v>
      </c>
      <c r="C1090" s="3" t="str">
        <f>"石尚"</f>
        <v>石尚</v>
      </c>
      <c r="D1090" s="3" t="str">
        <f t="shared" si="112"/>
        <v>女</v>
      </c>
      <c r="E1090" s="3" t="str">
        <f>"2507013828"</f>
        <v>2507013828</v>
      </c>
      <c r="F1090" s="3" t="str">
        <f t="shared" si="109"/>
        <v>38</v>
      </c>
      <c r="G1090" s="4" t="str">
        <f>"28"</f>
        <v>28</v>
      </c>
      <c r="H1090" s="5">
        <v>0</v>
      </c>
      <c r="I1090" s="3" t="s">
        <v>11</v>
      </c>
    </row>
    <row r="1091" customHeight="1" spans="1:9">
      <c r="A1091" s="3" t="str">
        <f t="shared" si="106"/>
        <v>0105</v>
      </c>
      <c r="B1091" s="3" t="s">
        <v>19</v>
      </c>
      <c r="C1091" s="3" t="str">
        <f>"刘伊雯"</f>
        <v>刘伊雯</v>
      </c>
      <c r="D1091" s="3" t="str">
        <f t="shared" si="112"/>
        <v>女</v>
      </c>
      <c r="E1091" s="3" t="str">
        <f>"2507013829"</f>
        <v>2507013829</v>
      </c>
      <c r="F1091" s="3" t="str">
        <f t="shared" si="109"/>
        <v>38</v>
      </c>
      <c r="G1091" s="4" t="str">
        <f>"29"</f>
        <v>29</v>
      </c>
      <c r="H1091" s="5">
        <v>45.4</v>
      </c>
      <c r="I1091" s="3"/>
    </row>
    <row r="1092" customHeight="1" spans="1:9">
      <c r="A1092" s="3" t="str">
        <f t="shared" si="106"/>
        <v>0105</v>
      </c>
      <c r="B1092" s="3" t="s">
        <v>19</v>
      </c>
      <c r="C1092" s="3" t="str">
        <f>"刘洋"</f>
        <v>刘洋</v>
      </c>
      <c r="D1092" s="3" t="str">
        <f>"男"</f>
        <v>男</v>
      </c>
      <c r="E1092" s="3" t="str">
        <f>"2507013830"</f>
        <v>2507013830</v>
      </c>
      <c r="F1092" s="3" t="str">
        <f t="shared" si="109"/>
        <v>38</v>
      </c>
      <c r="G1092" s="4" t="str">
        <f>"30"</f>
        <v>30</v>
      </c>
      <c r="H1092" s="5">
        <v>0</v>
      </c>
      <c r="I1092" s="3" t="s">
        <v>11</v>
      </c>
    </row>
    <row r="1093" customHeight="1" spans="1:9">
      <c r="A1093" s="3" t="str">
        <f t="shared" si="106"/>
        <v>0105</v>
      </c>
      <c r="B1093" s="3" t="s">
        <v>19</v>
      </c>
      <c r="C1093" s="3" t="str">
        <f>"周幸"</f>
        <v>周幸</v>
      </c>
      <c r="D1093" s="3" t="str">
        <f>"女"</f>
        <v>女</v>
      </c>
      <c r="E1093" s="3" t="str">
        <f>"2507013901"</f>
        <v>2507013901</v>
      </c>
      <c r="F1093" s="3" t="str">
        <f t="shared" ref="F1093:F1122" si="113">"39"</f>
        <v>39</v>
      </c>
      <c r="G1093" s="4" t="str">
        <f>"01"</f>
        <v>01</v>
      </c>
      <c r="H1093" s="5">
        <v>43.9</v>
      </c>
      <c r="I1093" s="3"/>
    </row>
    <row r="1094" customHeight="1" spans="1:9">
      <c r="A1094" s="3" t="str">
        <f t="shared" si="106"/>
        <v>0105</v>
      </c>
      <c r="B1094" s="3" t="s">
        <v>19</v>
      </c>
      <c r="C1094" s="3" t="str">
        <f>"张宇宸"</f>
        <v>张宇宸</v>
      </c>
      <c r="D1094" s="3" t="str">
        <f>"女"</f>
        <v>女</v>
      </c>
      <c r="E1094" s="3" t="str">
        <f>"2507013902"</f>
        <v>2507013902</v>
      </c>
      <c r="F1094" s="3" t="str">
        <f t="shared" si="113"/>
        <v>39</v>
      </c>
      <c r="G1094" s="4" t="str">
        <f>"02"</f>
        <v>02</v>
      </c>
      <c r="H1094" s="5">
        <v>0</v>
      </c>
      <c r="I1094" s="3" t="s">
        <v>11</v>
      </c>
    </row>
    <row r="1095" customHeight="1" spans="1:9">
      <c r="A1095" s="3" t="str">
        <f t="shared" si="106"/>
        <v>0105</v>
      </c>
      <c r="B1095" s="3" t="s">
        <v>19</v>
      </c>
      <c r="C1095" s="3" t="str">
        <f>"胡福麟"</f>
        <v>胡福麟</v>
      </c>
      <c r="D1095" s="3" t="str">
        <f>"男"</f>
        <v>男</v>
      </c>
      <c r="E1095" s="3" t="str">
        <f>"2507013903"</f>
        <v>2507013903</v>
      </c>
      <c r="F1095" s="3" t="str">
        <f t="shared" si="113"/>
        <v>39</v>
      </c>
      <c r="G1095" s="4" t="str">
        <f>"03"</f>
        <v>03</v>
      </c>
      <c r="H1095" s="5">
        <v>49.1</v>
      </c>
      <c r="I1095" s="3"/>
    </row>
    <row r="1096" customHeight="1" spans="1:9">
      <c r="A1096" s="3" t="str">
        <f t="shared" si="106"/>
        <v>0105</v>
      </c>
      <c r="B1096" s="3" t="s">
        <v>19</v>
      </c>
      <c r="C1096" s="3" t="str">
        <f>"刘欣怡"</f>
        <v>刘欣怡</v>
      </c>
      <c r="D1096" s="3" t="str">
        <f t="shared" ref="D1096:D1103" si="114">"女"</f>
        <v>女</v>
      </c>
      <c r="E1096" s="3" t="str">
        <f>"2507013904"</f>
        <v>2507013904</v>
      </c>
      <c r="F1096" s="3" t="str">
        <f t="shared" si="113"/>
        <v>39</v>
      </c>
      <c r="G1096" s="4" t="str">
        <f>"04"</f>
        <v>04</v>
      </c>
      <c r="H1096" s="5">
        <v>48</v>
      </c>
      <c r="I1096" s="3"/>
    </row>
    <row r="1097" customHeight="1" spans="1:9">
      <c r="A1097" s="3" t="str">
        <f t="shared" ref="A1097:A1160" si="115">"0105"</f>
        <v>0105</v>
      </c>
      <c r="B1097" s="3" t="s">
        <v>19</v>
      </c>
      <c r="C1097" s="3" t="str">
        <f>"张淼淼"</f>
        <v>张淼淼</v>
      </c>
      <c r="D1097" s="3" t="str">
        <f t="shared" si="114"/>
        <v>女</v>
      </c>
      <c r="E1097" s="3" t="str">
        <f>"2507013905"</f>
        <v>2507013905</v>
      </c>
      <c r="F1097" s="3" t="str">
        <f t="shared" si="113"/>
        <v>39</v>
      </c>
      <c r="G1097" s="4" t="str">
        <f>"05"</f>
        <v>05</v>
      </c>
      <c r="H1097" s="5">
        <v>51.9</v>
      </c>
      <c r="I1097" s="3"/>
    </row>
    <row r="1098" customHeight="1" spans="1:9">
      <c r="A1098" s="3" t="str">
        <f t="shared" si="115"/>
        <v>0105</v>
      </c>
      <c r="B1098" s="3" t="s">
        <v>19</v>
      </c>
      <c r="C1098" s="3" t="str">
        <f>"刘培荣"</f>
        <v>刘培荣</v>
      </c>
      <c r="D1098" s="3" t="str">
        <f t="shared" si="114"/>
        <v>女</v>
      </c>
      <c r="E1098" s="3" t="str">
        <f>"2507013906"</f>
        <v>2507013906</v>
      </c>
      <c r="F1098" s="3" t="str">
        <f t="shared" si="113"/>
        <v>39</v>
      </c>
      <c r="G1098" s="4" t="str">
        <f>"06"</f>
        <v>06</v>
      </c>
      <c r="H1098" s="5">
        <v>46.8</v>
      </c>
      <c r="I1098" s="3"/>
    </row>
    <row r="1099" customHeight="1" spans="1:9">
      <c r="A1099" s="3" t="str">
        <f t="shared" si="115"/>
        <v>0105</v>
      </c>
      <c r="B1099" s="3" t="s">
        <v>19</v>
      </c>
      <c r="C1099" s="3" t="str">
        <f>"高爽"</f>
        <v>高爽</v>
      </c>
      <c r="D1099" s="3" t="str">
        <f t="shared" si="114"/>
        <v>女</v>
      </c>
      <c r="E1099" s="3" t="str">
        <f>"2507013907"</f>
        <v>2507013907</v>
      </c>
      <c r="F1099" s="3" t="str">
        <f t="shared" si="113"/>
        <v>39</v>
      </c>
      <c r="G1099" s="4" t="str">
        <f>"07"</f>
        <v>07</v>
      </c>
      <c r="H1099" s="5">
        <v>0</v>
      </c>
      <c r="I1099" s="3" t="s">
        <v>11</v>
      </c>
    </row>
    <row r="1100" customHeight="1" spans="1:9">
      <c r="A1100" s="3" t="str">
        <f t="shared" si="115"/>
        <v>0105</v>
      </c>
      <c r="B1100" s="3" t="s">
        <v>19</v>
      </c>
      <c r="C1100" s="3" t="str">
        <f>"孟金铭"</f>
        <v>孟金铭</v>
      </c>
      <c r="D1100" s="3" t="str">
        <f t="shared" si="114"/>
        <v>女</v>
      </c>
      <c r="E1100" s="3" t="str">
        <f>"2507013908"</f>
        <v>2507013908</v>
      </c>
      <c r="F1100" s="3" t="str">
        <f t="shared" si="113"/>
        <v>39</v>
      </c>
      <c r="G1100" s="4" t="str">
        <f>"08"</f>
        <v>08</v>
      </c>
      <c r="H1100" s="5">
        <v>45.4</v>
      </c>
      <c r="I1100" s="3"/>
    </row>
    <row r="1101" customHeight="1" spans="1:9">
      <c r="A1101" s="3" t="str">
        <f t="shared" si="115"/>
        <v>0105</v>
      </c>
      <c r="B1101" s="3" t="s">
        <v>19</v>
      </c>
      <c r="C1101" s="3" t="str">
        <f>"陈亭宇"</f>
        <v>陈亭宇</v>
      </c>
      <c r="D1101" s="3" t="str">
        <f t="shared" si="114"/>
        <v>女</v>
      </c>
      <c r="E1101" s="3" t="str">
        <f>"2507013909"</f>
        <v>2507013909</v>
      </c>
      <c r="F1101" s="3" t="str">
        <f t="shared" si="113"/>
        <v>39</v>
      </c>
      <c r="G1101" s="4" t="str">
        <f>"09"</f>
        <v>09</v>
      </c>
      <c r="H1101" s="5">
        <v>57.3</v>
      </c>
      <c r="I1101" s="3"/>
    </row>
    <row r="1102" customHeight="1" spans="1:9">
      <c r="A1102" s="3" t="str">
        <f t="shared" si="115"/>
        <v>0105</v>
      </c>
      <c r="B1102" s="3" t="s">
        <v>19</v>
      </c>
      <c r="C1102" s="3" t="str">
        <f>"刘庆怡"</f>
        <v>刘庆怡</v>
      </c>
      <c r="D1102" s="3" t="str">
        <f t="shared" si="114"/>
        <v>女</v>
      </c>
      <c r="E1102" s="3" t="str">
        <f>"2507013910"</f>
        <v>2507013910</v>
      </c>
      <c r="F1102" s="3" t="str">
        <f t="shared" si="113"/>
        <v>39</v>
      </c>
      <c r="G1102" s="4" t="str">
        <f>"10"</f>
        <v>10</v>
      </c>
      <c r="H1102" s="5">
        <v>65.5</v>
      </c>
      <c r="I1102" s="3"/>
    </row>
    <row r="1103" customHeight="1" spans="1:9">
      <c r="A1103" s="3" t="str">
        <f t="shared" si="115"/>
        <v>0105</v>
      </c>
      <c r="B1103" s="3" t="s">
        <v>19</v>
      </c>
      <c r="C1103" s="3" t="str">
        <f>"刘红艳"</f>
        <v>刘红艳</v>
      </c>
      <c r="D1103" s="3" t="str">
        <f t="shared" si="114"/>
        <v>女</v>
      </c>
      <c r="E1103" s="3" t="str">
        <f>"2507013911"</f>
        <v>2507013911</v>
      </c>
      <c r="F1103" s="3" t="str">
        <f t="shared" si="113"/>
        <v>39</v>
      </c>
      <c r="G1103" s="4" t="str">
        <f>"11"</f>
        <v>11</v>
      </c>
      <c r="H1103" s="5">
        <v>0</v>
      </c>
      <c r="I1103" s="3" t="s">
        <v>11</v>
      </c>
    </row>
    <row r="1104" customHeight="1" spans="1:9">
      <c r="A1104" s="3" t="str">
        <f t="shared" si="115"/>
        <v>0105</v>
      </c>
      <c r="B1104" s="3" t="s">
        <v>19</v>
      </c>
      <c r="C1104" s="3" t="str">
        <f>"张晨宇"</f>
        <v>张晨宇</v>
      </c>
      <c r="D1104" s="3" t="str">
        <f>"男"</f>
        <v>男</v>
      </c>
      <c r="E1104" s="3" t="str">
        <f>"2507013912"</f>
        <v>2507013912</v>
      </c>
      <c r="F1104" s="3" t="str">
        <f t="shared" si="113"/>
        <v>39</v>
      </c>
      <c r="G1104" s="4" t="str">
        <f>"12"</f>
        <v>12</v>
      </c>
      <c r="H1104" s="5">
        <v>46.5</v>
      </c>
      <c r="I1104" s="3"/>
    </row>
    <row r="1105" customHeight="1" spans="1:9">
      <c r="A1105" s="3" t="str">
        <f t="shared" si="115"/>
        <v>0105</v>
      </c>
      <c r="B1105" s="3" t="s">
        <v>19</v>
      </c>
      <c r="C1105" s="3" t="str">
        <f>"王晨"</f>
        <v>王晨</v>
      </c>
      <c r="D1105" s="3" t="str">
        <f>"女"</f>
        <v>女</v>
      </c>
      <c r="E1105" s="3" t="str">
        <f>"2507013913"</f>
        <v>2507013913</v>
      </c>
      <c r="F1105" s="3" t="str">
        <f t="shared" si="113"/>
        <v>39</v>
      </c>
      <c r="G1105" s="4" t="str">
        <f>"13"</f>
        <v>13</v>
      </c>
      <c r="H1105" s="5">
        <v>61.9</v>
      </c>
      <c r="I1105" s="3"/>
    </row>
    <row r="1106" customHeight="1" spans="1:9">
      <c r="A1106" s="3" t="str">
        <f t="shared" si="115"/>
        <v>0105</v>
      </c>
      <c r="B1106" s="3" t="s">
        <v>19</v>
      </c>
      <c r="C1106" s="3" t="str">
        <f>"胡智为"</f>
        <v>胡智为</v>
      </c>
      <c r="D1106" s="3" t="str">
        <f>"女"</f>
        <v>女</v>
      </c>
      <c r="E1106" s="3" t="str">
        <f>"2507013914"</f>
        <v>2507013914</v>
      </c>
      <c r="F1106" s="3" t="str">
        <f t="shared" si="113"/>
        <v>39</v>
      </c>
      <c r="G1106" s="4" t="str">
        <f>"14"</f>
        <v>14</v>
      </c>
      <c r="H1106" s="5">
        <v>0</v>
      </c>
      <c r="I1106" s="3" t="s">
        <v>11</v>
      </c>
    </row>
    <row r="1107" customHeight="1" spans="1:9">
      <c r="A1107" s="3" t="str">
        <f t="shared" si="115"/>
        <v>0105</v>
      </c>
      <c r="B1107" s="3" t="s">
        <v>19</v>
      </c>
      <c r="C1107" s="3" t="str">
        <f>"张飞"</f>
        <v>张飞</v>
      </c>
      <c r="D1107" s="3" t="str">
        <f>"男"</f>
        <v>男</v>
      </c>
      <c r="E1107" s="3" t="str">
        <f>"2507013915"</f>
        <v>2507013915</v>
      </c>
      <c r="F1107" s="3" t="str">
        <f t="shared" si="113"/>
        <v>39</v>
      </c>
      <c r="G1107" s="4" t="str">
        <f>"15"</f>
        <v>15</v>
      </c>
      <c r="H1107" s="5">
        <v>62.9</v>
      </c>
      <c r="I1107" s="3"/>
    </row>
    <row r="1108" customHeight="1" spans="1:9">
      <c r="A1108" s="3" t="str">
        <f t="shared" si="115"/>
        <v>0105</v>
      </c>
      <c r="B1108" s="3" t="s">
        <v>19</v>
      </c>
      <c r="C1108" s="3" t="str">
        <f>"马一雯"</f>
        <v>马一雯</v>
      </c>
      <c r="D1108" s="3" t="str">
        <f>"女"</f>
        <v>女</v>
      </c>
      <c r="E1108" s="3" t="str">
        <f>"2507013916"</f>
        <v>2507013916</v>
      </c>
      <c r="F1108" s="3" t="str">
        <f t="shared" si="113"/>
        <v>39</v>
      </c>
      <c r="G1108" s="4" t="str">
        <f>"16"</f>
        <v>16</v>
      </c>
      <c r="H1108" s="5">
        <v>0</v>
      </c>
      <c r="I1108" s="3" t="s">
        <v>11</v>
      </c>
    </row>
    <row r="1109" customHeight="1" spans="1:9">
      <c r="A1109" s="3" t="str">
        <f t="shared" si="115"/>
        <v>0105</v>
      </c>
      <c r="B1109" s="3" t="s">
        <v>19</v>
      </c>
      <c r="C1109" s="3" t="str">
        <f>"谢益婷"</f>
        <v>谢益婷</v>
      </c>
      <c r="D1109" s="3" t="str">
        <f>"女"</f>
        <v>女</v>
      </c>
      <c r="E1109" s="3" t="str">
        <f>"2507013917"</f>
        <v>2507013917</v>
      </c>
      <c r="F1109" s="3" t="str">
        <f t="shared" si="113"/>
        <v>39</v>
      </c>
      <c r="G1109" s="4" t="str">
        <f>"17"</f>
        <v>17</v>
      </c>
      <c r="H1109" s="5">
        <v>36.8</v>
      </c>
      <c r="I1109" s="3"/>
    </row>
    <row r="1110" customHeight="1" spans="1:9">
      <c r="A1110" s="3" t="str">
        <f t="shared" si="115"/>
        <v>0105</v>
      </c>
      <c r="B1110" s="3" t="s">
        <v>19</v>
      </c>
      <c r="C1110" s="3" t="str">
        <f>"李伟楠"</f>
        <v>李伟楠</v>
      </c>
      <c r="D1110" s="3" t="str">
        <f>"女"</f>
        <v>女</v>
      </c>
      <c r="E1110" s="3" t="str">
        <f>"2507013918"</f>
        <v>2507013918</v>
      </c>
      <c r="F1110" s="3" t="str">
        <f t="shared" si="113"/>
        <v>39</v>
      </c>
      <c r="G1110" s="4" t="str">
        <f>"18"</f>
        <v>18</v>
      </c>
      <c r="H1110" s="5">
        <v>57.8</v>
      </c>
      <c r="I1110" s="3"/>
    </row>
    <row r="1111" customHeight="1" spans="1:9">
      <c r="A1111" s="3" t="str">
        <f t="shared" si="115"/>
        <v>0105</v>
      </c>
      <c r="B1111" s="3" t="s">
        <v>19</v>
      </c>
      <c r="C1111" s="3" t="str">
        <f>"杨勇"</f>
        <v>杨勇</v>
      </c>
      <c r="D1111" s="3" t="str">
        <f>"男"</f>
        <v>男</v>
      </c>
      <c r="E1111" s="3" t="str">
        <f>"2507013919"</f>
        <v>2507013919</v>
      </c>
      <c r="F1111" s="3" t="str">
        <f t="shared" si="113"/>
        <v>39</v>
      </c>
      <c r="G1111" s="4" t="str">
        <f>"19"</f>
        <v>19</v>
      </c>
      <c r="H1111" s="5">
        <v>52.6</v>
      </c>
      <c r="I1111" s="3"/>
    </row>
    <row r="1112" customHeight="1" spans="1:9">
      <c r="A1112" s="3" t="str">
        <f t="shared" si="115"/>
        <v>0105</v>
      </c>
      <c r="B1112" s="3" t="s">
        <v>19</v>
      </c>
      <c r="C1112" s="3" t="str">
        <f>"宋安歌"</f>
        <v>宋安歌</v>
      </c>
      <c r="D1112" s="3" t="str">
        <f t="shared" ref="D1112:D1118" si="116">"女"</f>
        <v>女</v>
      </c>
      <c r="E1112" s="3" t="str">
        <f>"2507013920"</f>
        <v>2507013920</v>
      </c>
      <c r="F1112" s="3" t="str">
        <f t="shared" si="113"/>
        <v>39</v>
      </c>
      <c r="G1112" s="4" t="str">
        <f>"20"</f>
        <v>20</v>
      </c>
      <c r="H1112" s="5">
        <v>56</v>
      </c>
      <c r="I1112" s="3"/>
    </row>
    <row r="1113" customHeight="1" spans="1:9">
      <c r="A1113" s="3" t="str">
        <f t="shared" si="115"/>
        <v>0105</v>
      </c>
      <c r="B1113" s="3" t="s">
        <v>19</v>
      </c>
      <c r="C1113" s="3" t="str">
        <f>"季禹辰"</f>
        <v>季禹辰</v>
      </c>
      <c r="D1113" s="3" t="str">
        <f t="shared" si="116"/>
        <v>女</v>
      </c>
      <c r="E1113" s="3" t="str">
        <f>"2507013921"</f>
        <v>2507013921</v>
      </c>
      <c r="F1113" s="3" t="str">
        <f t="shared" si="113"/>
        <v>39</v>
      </c>
      <c r="G1113" s="4" t="str">
        <f>"21"</f>
        <v>21</v>
      </c>
      <c r="H1113" s="5">
        <v>0</v>
      </c>
      <c r="I1113" s="3" t="s">
        <v>11</v>
      </c>
    </row>
    <row r="1114" customHeight="1" spans="1:9">
      <c r="A1114" s="3" t="str">
        <f t="shared" si="115"/>
        <v>0105</v>
      </c>
      <c r="B1114" s="3" t="s">
        <v>19</v>
      </c>
      <c r="C1114" s="3" t="str">
        <f>"王莹"</f>
        <v>王莹</v>
      </c>
      <c r="D1114" s="3" t="str">
        <f t="shared" si="116"/>
        <v>女</v>
      </c>
      <c r="E1114" s="3" t="str">
        <f>"2507013922"</f>
        <v>2507013922</v>
      </c>
      <c r="F1114" s="3" t="str">
        <f t="shared" si="113"/>
        <v>39</v>
      </c>
      <c r="G1114" s="4" t="str">
        <f>"22"</f>
        <v>22</v>
      </c>
      <c r="H1114" s="5">
        <v>0</v>
      </c>
      <c r="I1114" s="3" t="s">
        <v>11</v>
      </c>
    </row>
    <row r="1115" customHeight="1" spans="1:9">
      <c r="A1115" s="3" t="str">
        <f t="shared" si="115"/>
        <v>0105</v>
      </c>
      <c r="B1115" s="3" t="s">
        <v>19</v>
      </c>
      <c r="C1115" s="3" t="str">
        <f>"张思维"</f>
        <v>张思维</v>
      </c>
      <c r="D1115" s="3" t="str">
        <f t="shared" si="116"/>
        <v>女</v>
      </c>
      <c r="E1115" s="3" t="str">
        <f>"2507013923"</f>
        <v>2507013923</v>
      </c>
      <c r="F1115" s="3" t="str">
        <f t="shared" si="113"/>
        <v>39</v>
      </c>
      <c r="G1115" s="4" t="str">
        <f>"23"</f>
        <v>23</v>
      </c>
      <c r="H1115" s="5">
        <v>35</v>
      </c>
      <c r="I1115" s="3"/>
    </row>
    <row r="1116" customHeight="1" spans="1:9">
      <c r="A1116" s="3" t="str">
        <f t="shared" si="115"/>
        <v>0105</v>
      </c>
      <c r="B1116" s="3" t="s">
        <v>19</v>
      </c>
      <c r="C1116" s="3" t="str">
        <f>"徐铱菡"</f>
        <v>徐铱菡</v>
      </c>
      <c r="D1116" s="3" t="str">
        <f t="shared" si="116"/>
        <v>女</v>
      </c>
      <c r="E1116" s="3" t="str">
        <f>"2507013924"</f>
        <v>2507013924</v>
      </c>
      <c r="F1116" s="3" t="str">
        <f t="shared" si="113"/>
        <v>39</v>
      </c>
      <c r="G1116" s="4" t="str">
        <f>"24"</f>
        <v>24</v>
      </c>
      <c r="H1116" s="5">
        <v>45.7</v>
      </c>
      <c r="I1116" s="3"/>
    </row>
    <row r="1117" customHeight="1" spans="1:9">
      <c r="A1117" s="3" t="str">
        <f t="shared" si="115"/>
        <v>0105</v>
      </c>
      <c r="B1117" s="3" t="s">
        <v>19</v>
      </c>
      <c r="C1117" s="3" t="str">
        <f>"王芹"</f>
        <v>王芹</v>
      </c>
      <c r="D1117" s="3" t="str">
        <f t="shared" si="116"/>
        <v>女</v>
      </c>
      <c r="E1117" s="3" t="str">
        <f>"2507013925"</f>
        <v>2507013925</v>
      </c>
      <c r="F1117" s="3" t="str">
        <f t="shared" si="113"/>
        <v>39</v>
      </c>
      <c r="G1117" s="4" t="str">
        <f>"25"</f>
        <v>25</v>
      </c>
      <c r="H1117" s="5">
        <v>56.9</v>
      </c>
      <c r="I1117" s="3"/>
    </row>
    <row r="1118" customHeight="1" spans="1:9">
      <c r="A1118" s="3" t="str">
        <f t="shared" si="115"/>
        <v>0105</v>
      </c>
      <c r="B1118" s="3" t="s">
        <v>19</v>
      </c>
      <c r="C1118" s="3" t="str">
        <f>"王静宜"</f>
        <v>王静宜</v>
      </c>
      <c r="D1118" s="3" t="str">
        <f t="shared" si="116"/>
        <v>女</v>
      </c>
      <c r="E1118" s="3" t="str">
        <f>"2507013926"</f>
        <v>2507013926</v>
      </c>
      <c r="F1118" s="3" t="str">
        <f t="shared" si="113"/>
        <v>39</v>
      </c>
      <c r="G1118" s="4" t="str">
        <f>"26"</f>
        <v>26</v>
      </c>
      <c r="H1118" s="5">
        <v>0</v>
      </c>
      <c r="I1118" s="3" t="s">
        <v>11</v>
      </c>
    </row>
    <row r="1119" customHeight="1" spans="1:9">
      <c r="A1119" s="3" t="str">
        <f t="shared" si="115"/>
        <v>0105</v>
      </c>
      <c r="B1119" s="3" t="s">
        <v>19</v>
      </c>
      <c r="C1119" s="3" t="str">
        <f>"耿广松"</f>
        <v>耿广松</v>
      </c>
      <c r="D1119" s="3" t="str">
        <f>"男"</f>
        <v>男</v>
      </c>
      <c r="E1119" s="3" t="str">
        <f>"2507013927"</f>
        <v>2507013927</v>
      </c>
      <c r="F1119" s="3" t="str">
        <f t="shared" si="113"/>
        <v>39</v>
      </c>
      <c r="G1119" s="4" t="str">
        <f>"27"</f>
        <v>27</v>
      </c>
      <c r="H1119" s="5">
        <v>0</v>
      </c>
      <c r="I1119" s="3" t="s">
        <v>11</v>
      </c>
    </row>
    <row r="1120" customHeight="1" spans="1:9">
      <c r="A1120" s="3" t="str">
        <f t="shared" si="115"/>
        <v>0105</v>
      </c>
      <c r="B1120" s="3" t="s">
        <v>19</v>
      </c>
      <c r="C1120" s="3" t="str">
        <f>"姚开元"</f>
        <v>姚开元</v>
      </c>
      <c r="D1120" s="3" t="str">
        <f>"男"</f>
        <v>男</v>
      </c>
      <c r="E1120" s="3" t="str">
        <f>"2507013928"</f>
        <v>2507013928</v>
      </c>
      <c r="F1120" s="3" t="str">
        <f t="shared" si="113"/>
        <v>39</v>
      </c>
      <c r="G1120" s="4" t="str">
        <f>"28"</f>
        <v>28</v>
      </c>
      <c r="H1120" s="5">
        <v>0</v>
      </c>
      <c r="I1120" s="3" t="s">
        <v>11</v>
      </c>
    </row>
    <row r="1121" customHeight="1" spans="1:9">
      <c r="A1121" s="3" t="str">
        <f t="shared" si="115"/>
        <v>0105</v>
      </c>
      <c r="B1121" s="3" t="s">
        <v>19</v>
      </c>
      <c r="C1121" s="3" t="str">
        <f>"杨晓"</f>
        <v>杨晓</v>
      </c>
      <c r="D1121" s="3" t="str">
        <f>"女"</f>
        <v>女</v>
      </c>
      <c r="E1121" s="3" t="str">
        <f>"2507013929"</f>
        <v>2507013929</v>
      </c>
      <c r="F1121" s="3" t="str">
        <f t="shared" si="113"/>
        <v>39</v>
      </c>
      <c r="G1121" s="4" t="str">
        <f>"29"</f>
        <v>29</v>
      </c>
      <c r="H1121" s="5">
        <v>55.8</v>
      </c>
      <c r="I1121" s="3"/>
    </row>
    <row r="1122" customHeight="1" spans="1:9">
      <c r="A1122" s="3" t="str">
        <f t="shared" si="115"/>
        <v>0105</v>
      </c>
      <c r="B1122" s="3" t="s">
        <v>19</v>
      </c>
      <c r="C1122" s="3" t="str">
        <f>"吴倩倩"</f>
        <v>吴倩倩</v>
      </c>
      <c r="D1122" s="3" t="str">
        <f>"女"</f>
        <v>女</v>
      </c>
      <c r="E1122" s="3" t="str">
        <f>"2507013930"</f>
        <v>2507013930</v>
      </c>
      <c r="F1122" s="3" t="str">
        <f t="shared" si="113"/>
        <v>39</v>
      </c>
      <c r="G1122" s="4" t="str">
        <f>"30"</f>
        <v>30</v>
      </c>
      <c r="H1122" s="5">
        <v>0</v>
      </c>
      <c r="I1122" s="3" t="s">
        <v>11</v>
      </c>
    </row>
    <row r="1123" customHeight="1" spans="1:9">
      <c r="A1123" s="3" t="str">
        <f t="shared" si="115"/>
        <v>0105</v>
      </c>
      <c r="B1123" s="3" t="s">
        <v>19</v>
      </c>
      <c r="C1123" s="3" t="str">
        <f>"顾雨寒"</f>
        <v>顾雨寒</v>
      </c>
      <c r="D1123" s="3" t="str">
        <f>"女"</f>
        <v>女</v>
      </c>
      <c r="E1123" s="3" t="str">
        <f>"2507014001"</f>
        <v>2507014001</v>
      </c>
      <c r="F1123" s="3" t="str">
        <f t="shared" ref="F1123:F1152" si="117">"40"</f>
        <v>40</v>
      </c>
      <c r="G1123" s="4" t="str">
        <f>"01"</f>
        <v>01</v>
      </c>
      <c r="H1123" s="5">
        <v>40.4</v>
      </c>
      <c r="I1123" s="3"/>
    </row>
    <row r="1124" customHeight="1" spans="1:9">
      <c r="A1124" s="3" t="str">
        <f t="shared" si="115"/>
        <v>0105</v>
      </c>
      <c r="B1124" s="3" t="s">
        <v>19</v>
      </c>
      <c r="C1124" s="3" t="str">
        <f>"王子彤"</f>
        <v>王子彤</v>
      </c>
      <c r="D1124" s="3" t="str">
        <f>"女"</f>
        <v>女</v>
      </c>
      <c r="E1124" s="3" t="str">
        <f>"2507014002"</f>
        <v>2507014002</v>
      </c>
      <c r="F1124" s="3" t="str">
        <f t="shared" si="117"/>
        <v>40</v>
      </c>
      <c r="G1124" s="4" t="str">
        <f>"02"</f>
        <v>02</v>
      </c>
      <c r="H1124" s="5">
        <v>0</v>
      </c>
      <c r="I1124" s="3" t="s">
        <v>11</v>
      </c>
    </row>
    <row r="1125" customHeight="1" spans="1:9">
      <c r="A1125" s="3" t="str">
        <f t="shared" si="115"/>
        <v>0105</v>
      </c>
      <c r="B1125" s="3" t="s">
        <v>19</v>
      </c>
      <c r="C1125" s="3" t="str">
        <f>"颜铭"</f>
        <v>颜铭</v>
      </c>
      <c r="D1125" s="3" t="str">
        <f>"男"</f>
        <v>男</v>
      </c>
      <c r="E1125" s="3" t="str">
        <f>"2507014003"</f>
        <v>2507014003</v>
      </c>
      <c r="F1125" s="3" t="str">
        <f t="shared" si="117"/>
        <v>40</v>
      </c>
      <c r="G1125" s="4" t="str">
        <f>"03"</f>
        <v>03</v>
      </c>
      <c r="H1125" s="5">
        <v>55.3</v>
      </c>
      <c r="I1125" s="3"/>
    </row>
    <row r="1126" customHeight="1" spans="1:9">
      <c r="A1126" s="3" t="str">
        <f t="shared" si="115"/>
        <v>0105</v>
      </c>
      <c r="B1126" s="3" t="s">
        <v>19</v>
      </c>
      <c r="C1126" s="3" t="str">
        <f>"王姣姣"</f>
        <v>王姣姣</v>
      </c>
      <c r="D1126" s="3" t="str">
        <f t="shared" ref="D1126:D1132" si="118">"女"</f>
        <v>女</v>
      </c>
      <c r="E1126" s="3" t="str">
        <f>"2507014004"</f>
        <v>2507014004</v>
      </c>
      <c r="F1126" s="3" t="str">
        <f t="shared" si="117"/>
        <v>40</v>
      </c>
      <c r="G1126" s="4" t="str">
        <f>"04"</f>
        <v>04</v>
      </c>
      <c r="H1126" s="5">
        <v>61</v>
      </c>
      <c r="I1126" s="3"/>
    </row>
    <row r="1127" customHeight="1" spans="1:9">
      <c r="A1127" s="3" t="str">
        <f t="shared" si="115"/>
        <v>0105</v>
      </c>
      <c r="B1127" s="3" t="s">
        <v>19</v>
      </c>
      <c r="C1127" s="3" t="str">
        <f>"郭萌"</f>
        <v>郭萌</v>
      </c>
      <c r="D1127" s="3" t="str">
        <f t="shared" si="118"/>
        <v>女</v>
      </c>
      <c r="E1127" s="3" t="str">
        <f>"2507014005"</f>
        <v>2507014005</v>
      </c>
      <c r="F1127" s="3" t="str">
        <f t="shared" si="117"/>
        <v>40</v>
      </c>
      <c r="G1127" s="4" t="str">
        <f>"05"</f>
        <v>05</v>
      </c>
      <c r="H1127" s="5">
        <v>35</v>
      </c>
      <c r="I1127" s="3"/>
    </row>
    <row r="1128" customHeight="1" spans="1:9">
      <c r="A1128" s="3" t="str">
        <f t="shared" si="115"/>
        <v>0105</v>
      </c>
      <c r="B1128" s="3" t="s">
        <v>19</v>
      </c>
      <c r="C1128" s="3" t="str">
        <f>"朱旭"</f>
        <v>朱旭</v>
      </c>
      <c r="D1128" s="3" t="str">
        <f t="shared" si="118"/>
        <v>女</v>
      </c>
      <c r="E1128" s="3" t="str">
        <f>"2507014006"</f>
        <v>2507014006</v>
      </c>
      <c r="F1128" s="3" t="str">
        <f t="shared" si="117"/>
        <v>40</v>
      </c>
      <c r="G1128" s="4" t="str">
        <f>"06"</f>
        <v>06</v>
      </c>
      <c r="H1128" s="5">
        <v>29.2</v>
      </c>
      <c r="I1128" s="3"/>
    </row>
    <row r="1129" customHeight="1" spans="1:9">
      <c r="A1129" s="3" t="str">
        <f t="shared" si="115"/>
        <v>0105</v>
      </c>
      <c r="B1129" s="3" t="s">
        <v>19</v>
      </c>
      <c r="C1129" s="3" t="str">
        <f>"张赛楠"</f>
        <v>张赛楠</v>
      </c>
      <c r="D1129" s="3" t="str">
        <f t="shared" si="118"/>
        <v>女</v>
      </c>
      <c r="E1129" s="3" t="str">
        <f>"2507014007"</f>
        <v>2507014007</v>
      </c>
      <c r="F1129" s="3" t="str">
        <f t="shared" si="117"/>
        <v>40</v>
      </c>
      <c r="G1129" s="4" t="str">
        <f>"07"</f>
        <v>07</v>
      </c>
      <c r="H1129" s="5">
        <v>62.2</v>
      </c>
      <c r="I1129" s="3"/>
    </row>
    <row r="1130" customHeight="1" spans="1:9">
      <c r="A1130" s="3" t="str">
        <f t="shared" si="115"/>
        <v>0105</v>
      </c>
      <c r="B1130" s="3" t="s">
        <v>19</v>
      </c>
      <c r="C1130" s="3" t="str">
        <f>"闫圣陶"</f>
        <v>闫圣陶</v>
      </c>
      <c r="D1130" s="3" t="str">
        <f t="shared" si="118"/>
        <v>女</v>
      </c>
      <c r="E1130" s="3" t="str">
        <f>"2507014008"</f>
        <v>2507014008</v>
      </c>
      <c r="F1130" s="3" t="str">
        <f t="shared" si="117"/>
        <v>40</v>
      </c>
      <c r="G1130" s="4" t="str">
        <f>"08"</f>
        <v>08</v>
      </c>
      <c r="H1130" s="5">
        <v>39</v>
      </c>
      <c r="I1130" s="3"/>
    </row>
    <row r="1131" customHeight="1" spans="1:9">
      <c r="A1131" s="3" t="str">
        <f t="shared" si="115"/>
        <v>0105</v>
      </c>
      <c r="B1131" s="3" t="s">
        <v>19</v>
      </c>
      <c r="C1131" s="3" t="str">
        <f>"尹永芳"</f>
        <v>尹永芳</v>
      </c>
      <c r="D1131" s="3" t="str">
        <f t="shared" si="118"/>
        <v>女</v>
      </c>
      <c r="E1131" s="3" t="str">
        <f>"2507014009"</f>
        <v>2507014009</v>
      </c>
      <c r="F1131" s="3" t="str">
        <f t="shared" si="117"/>
        <v>40</v>
      </c>
      <c r="G1131" s="4" t="str">
        <f>"09"</f>
        <v>09</v>
      </c>
      <c r="H1131" s="5">
        <v>48</v>
      </c>
      <c r="I1131" s="3"/>
    </row>
    <row r="1132" customHeight="1" spans="1:9">
      <c r="A1132" s="3" t="str">
        <f t="shared" si="115"/>
        <v>0105</v>
      </c>
      <c r="B1132" s="3" t="s">
        <v>19</v>
      </c>
      <c r="C1132" s="3" t="str">
        <f>"闫艺文"</f>
        <v>闫艺文</v>
      </c>
      <c r="D1132" s="3" t="str">
        <f t="shared" si="118"/>
        <v>女</v>
      </c>
      <c r="E1132" s="3" t="str">
        <f>"2507014010"</f>
        <v>2507014010</v>
      </c>
      <c r="F1132" s="3" t="str">
        <f t="shared" si="117"/>
        <v>40</v>
      </c>
      <c r="G1132" s="4" t="str">
        <f>"10"</f>
        <v>10</v>
      </c>
      <c r="H1132" s="5">
        <v>31</v>
      </c>
      <c r="I1132" s="3"/>
    </row>
    <row r="1133" customHeight="1" spans="1:9">
      <c r="A1133" s="3" t="str">
        <f t="shared" si="115"/>
        <v>0105</v>
      </c>
      <c r="B1133" s="3" t="s">
        <v>19</v>
      </c>
      <c r="C1133" s="3" t="str">
        <f>"窦立峰"</f>
        <v>窦立峰</v>
      </c>
      <c r="D1133" s="3" t="str">
        <f>"男"</f>
        <v>男</v>
      </c>
      <c r="E1133" s="3" t="str">
        <f>"2507014011"</f>
        <v>2507014011</v>
      </c>
      <c r="F1133" s="3" t="str">
        <f t="shared" si="117"/>
        <v>40</v>
      </c>
      <c r="G1133" s="4" t="str">
        <f>"11"</f>
        <v>11</v>
      </c>
      <c r="H1133" s="5">
        <v>62.1</v>
      </c>
      <c r="I1133" s="3"/>
    </row>
    <row r="1134" customHeight="1" spans="1:9">
      <c r="A1134" s="3" t="str">
        <f t="shared" si="115"/>
        <v>0105</v>
      </c>
      <c r="B1134" s="3" t="s">
        <v>19</v>
      </c>
      <c r="C1134" s="3" t="str">
        <f>"杜亚宁"</f>
        <v>杜亚宁</v>
      </c>
      <c r="D1134" s="3" t="str">
        <f>"女"</f>
        <v>女</v>
      </c>
      <c r="E1134" s="3" t="str">
        <f>"2507014012"</f>
        <v>2507014012</v>
      </c>
      <c r="F1134" s="3" t="str">
        <f t="shared" si="117"/>
        <v>40</v>
      </c>
      <c r="G1134" s="4" t="str">
        <f>"12"</f>
        <v>12</v>
      </c>
      <c r="H1134" s="5">
        <v>52.3</v>
      </c>
      <c r="I1134" s="3"/>
    </row>
    <row r="1135" customHeight="1" spans="1:9">
      <c r="A1135" s="3" t="str">
        <f t="shared" si="115"/>
        <v>0105</v>
      </c>
      <c r="B1135" s="3" t="s">
        <v>19</v>
      </c>
      <c r="C1135" s="3" t="str">
        <f>"王秋力"</f>
        <v>王秋力</v>
      </c>
      <c r="D1135" s="3" t="str">
        <f>"女"</f>
        <v>女</v>
      </c>
      <c r="E1135" s="3" t="str">
        <f>"2507014013"</f>
        <v>2507014013</v>
      </c>
      <c r="F1135" s="3" t="str">
        <f t="shared" si="117"/>
        <v>40</v>
      </c>
      <c r="G1135" s="4" t="str">
        <f>"13"</f>
        <v>13</v>
      </c>
      <c r="H1135" s="5">
        <v>63</v>
      </c>
      <c r="I1135" s="3"/>
    </row>
    <row r="1136" customHeight="1" spans="1:9">
      <c r="A1136" s="3" t="str">
        <f t="shared" si="115"/>
        <v>0105</v>
      </c>
      <c r="B1136" s="3" t="s">
        <v>19</v>
      </c>
      <c r="C1136" s="3" t="str">
        <f>"读舒"</f>
        <v>读舒</v>
      </c>
      <c r="D1136" s="3" t="str">
        <f>"女"</f>
        <v>女</v>
      </c>
      <c r="E1136" s="3" t="str">
        <f>"2507014014"</f>
        <v>2507014014</v>
      </c>
      <c r="F1136" s="3" t="str">
        <f t="shared" si="117"/>
        <v>40</v>
      </c>
      <c r="G1136" s="4" t="str">
        <f>"14"</f>
        <v>14</v>
      </c>
      <c r="H1136" s="5">
        <v>0</v>
      </c>
      <c r="I1136" s="3" t="s">
        <v>11</v>
      </c>
    </row>
    <row r="1137" customHeight="1" spans="1:9">
      <c r="A1137" s="3" t="str">
        <f t="shared" si="115"/>
        <v>0105</v>
      </c>
      <c r="B1137" s="3" t="s">
        <v>19</v>
      </c>
      <c r="C1137" s="3" t="str">
        <f>"滕衍煜"</f>
        <v>滕衍煜</v>
      </c>
      <c r="D1137" s="3" t="str">
        <f>"男"</f>
        <v>男</v>
      </c>
      <c r="E1137" s="3" t="str">
        <f>"2507014015"</f>
        <v>2507014015</v>
      </c>
      <c r="F1137" s="3" t="str">
        <f t="shared" si="117"/>
        <v>40</v>
      </c>
      <c r="G1137" s="4" t="str">
        <f>"15"</f>
        <v>15</v>
      </c>
      <c r="H1137" s="5">
        <v>0</v>
      </c>
      <c r="I1137" s="3" t="s">
        <v>11</v>
      </c>
    </row>
    <row r="1138" customHeight="1" spans="1:9">
      <c r="A1138" s="3" t="str">
        <f t="shared" si="115"/>
        <v>0105</v>
      </c>
      <c r="B1138" s="3" t="s">
        <v>19</v>
      </c>
      <c r="C1138" s="3" t="str">
        <f>"方翌晨"</f>
        <v>方翌晨</v>
      </c>
      <c r="D1138" s="3" t="str">
        <f>"女"</f>
        <v>女</v>
      </c>
      <c r="E1138" s="3" t="str">
        <f>"2507014016"</f>
        <v>2507014016</v>
      </c>
      <c r="F1138" s="3" t="str">
        <f t="shared" si="117"/>
        <v>40</v>
      </c>
      <c r="G1138" s="4" t="str">
        <f>"16"</f>
        <v>16</v>
      </c>
      <c r="H1138" s="5">
        <v>49.5</v>
      </c>
      <c r="I1138" s="3"/>
    </row>
    <row r="1139" customHeight="1" spans="1:9">
      <c r="A1139" s="3" t="str">
        <f t="shared" si="115"/>
        <v>0105</v>
      </c>
      <c r="B1139" s="3" t="s">
        <v>19</v>
      </c>
      <c r="C1139" s="3" t="str">
        <f>"孟子凡"</f>
        <v>孟子凡</v>
      </c>
      <c r="D1139" s="3" t="str">
        <f>"男"</f>
        <v>男</v>
      </c>
      <c r="E1139" s="3" t="str">
        <f>"2507014017"</f>
        <v>2507014017</v>
      </c>
      <c r="F1139" s="3" t="str">
        <f t="shared" si="117"/>
        <v>40</v>
      </c>
      <c r="G1139" s="4" t="str">
        <f>"17"</f>
        <v>17</v>
      </c>
      <c r="H1139" s="5">
        <v>49.5</v>
      </c>
      <c r="I1139" s="3"/>
    </row>
    <row r="1140" customHeight="1" spans="1:9">
      <c r="A1140" s="3" t="str">
        <f t="shared" si="115"/>
        <v>0105</v>
      </c>
      <c r="B1140" s="3" t="s">
        <v>19</v>
      </c>
      <c r="C1140" s="3" t="str">
        <f>"庄颜"</f>
        <v>庄颜</v>
      </c>
      <c r="D1140" s="3" t="str">
        <f>"女"</f>
        <v>女</v>
      </c>
      <c r="E1140" s="3" t="str">
        <f>"2507014018"</f>
        <v>2507014018</v>
      </c>
      <c r="F1140" s="3" t="str">
        <f t="shared" si="117"/>
        <v>40</v>
      </c>
      <c r="G1140" s="4" t="str">
        <f>"18"</f>
        <v>18</v>
      </c>
      <c r="H1140" s="5">
        <v>56.2</v>
      </c>
      <c r="I1140" s="3"/>
    </row>
    <row r="1141" customHeight="1" spans="1:9">
      <c r="A1141" s="3" t="str">
        <f t="shared" si="115"/>
        <v>0105</v>
      </c>
      <c r="B1141" s="3" t="s">
        <v>19</v>
      </c>
      <c r="C1141" s="3" t="str">
        <f>"朱桐锐"</f>
        <v>朱桐锐</v>
      </c>
      <c r="D1141" s="3" t="str">
        <f>"男"</f>
        <v>男</v>
      </c>
      <c r="E1141" s="3" t="str">
        <f>"2507014019"</f>
        <v>2507014019</v>
      </c>
      <c r="F1141" s="3" t="str">
        <f t="shared" si="117"/>
        <v>40</v>
      </c>
      <c r="G1141" s="4" t="str">
        <f>"19"</f>
        <v>19</v>
      </c>
      <c r="H1141" s="5">
        <v>0</v>
      </c>
      <c r="I1141" s="3" t="s">
        <v>11</v>
      </c>
    </row>
    <row r="1142" customHeight="1" spans="1:9">
      <c r="A1142" s="3" t="str">
        <f t="shared" si="115"/>
        <v>0105</v>
      </c>
      <c r="B1142" s="3" t="s">
        <v>19</v>
      </c>
      <c r="C1142" s="3" t="str">
        <f>"徐金冬"</f>
        <v>徐金冬</v>
      </c>
      <c r="D1142" s="3" t="str">
        <f>"男"</f>
        <v>男</v>
      </c>
      <c r="E1142" s="3" t="str">
        <f>"2507014020"</f>
        <v>2507014020</v>
      </c>
      <c r="F1142" s="3" t="str">
        <f t="shared" si="117"/>
        <v>40</v>
      </c>
      <c r="G1142" s="4" t="str">
        <f>"20"</f>
        <v>20</v>
      </c>
      <c r="H1142" s="5">
        <v>45.6</v>
      </c>
      <c r="I1142" s="3"/>
    </row>
    <row r="1143" customHeight="1" spans="1:9">
      <c r="A1143" s="3" t="str">
        <f t="shared" si="115"/>
        <v>0105</v>
      </c>
      <c r="B1143" s="3" t="s">
        <v>19</v>
      </c>
      <c r="C1143" s="3" t="str">
        <f>"孙亦奇"</f>
        <v>孙亦奇</v>
      </c>
      <c r="D1143" s="3" t="str">
        <f>"女"</f>
        <v>女</v>
      </c>
      <c r="E1143" s="3" t="str">
        <f>"2507014021"</f>
        <v>2507014021</v>
      </c>
      <c r="F1143" s="3" t="str">
        <f t="shared" si="117"/>
        <v>40</v>
      </c>
      <c r="G1143" s="4" t="str">
        <f>"21"</f>
        <v>21</v>
      </c>
      <c r="H1143" s="5">
        <v>47.3</v>
      </c>
      <c r="I1143" s="3"/>
    </row>
    <row r="1144" customHeight="1" spans="1:9">
      <c r="A1144" s="3" t="str">
        <f t="shared" si="115"/>
        <v>0105</v>
      </c>
      <c r="B1144" s="3" t="s">
        <v>19</v>
      </c>
      <c r="C1144" s="3" t="str">
        <f>"魏敏芳"</f>
        <v>魏敏芳</v>
      </c>
      <c r="D1144" s="3" t="str">
        <f>"女"</f>
        <v>女</v>
      </c>
      <c r="E1144" s="3" t="str">
        <f>"2507014022"</f>
        <v>2507014022</v>
      </c>
      <c r="F1144" s="3" t="str">
        <f t="shared" si="117"/>
        <v>40</v>
      </c>
      <c r="G1144" s="4" t="str">
        <f>"22"</f>
        <v>22</v>
      </c>
      <c r="H1144" s="5">
        <v>0</v>
      </c>
      <c r="I1144" s="3" t="s">
        <v>11</v>
      </c>
    </row>
    <row r="1145" customHeight="1" spans="1:9">
      <c r="A1145" s="3" t="str">
        <f t="shared" si="115"/>
        <v>0105</v>
      </c>
      <c r="B1145" s="3" t="s">
        <v>19</v>
      </c>
      <c r="C1145" s="3" t="str">
        <f>"孟子圣"</f>
        <v>孟子圣</v>
      </c>
      <c r="D1145" s="3" t="str">
        <f>"男"</f>
        <v>男</v>
      </c>
      <c r="E1145" s="3" t="str">
        <f>"2507014023"</f>
        <v>2507014023</v>
      </c>
      <c r="F1145" s="3" t="str">
        <f t="shared" si="117"/>
        <v>40</v>
      </c>
      <c r="G1145" s="4" t="str">
        <f>"23"</f>
        <v>23</v>
      </c>
      <c r="H1145" s="5">
        <v>47.6</v>
      </c>
      <c r="I1145" s="3"/>
    </row>
    <row r="1146" customHeight="1" spans="1:9">
      <c r="A1146" s="3" t="str">
        <f t="shared" si="115"/>
        <v>0105</v>
      </c>
      <c r="B1146" s="3" t="s">
        <v>19</v>
      </c>
      <c r="C1146" s="3" t="str">
        <f>"刘婧"</f>
        <v>刘婧</v>
      </c>
      <c r="D1146" s="3" t="str">
        <f>"女"</f>
        <v>女</v>
      </c>
      <c r="E1146" s="3" t="str">
        <f>"2507014024"</f>
        <v>2507014024</v>
      </c>
      <c r="F1146" s="3" t="str">
        <f t="shared" si="117"/>
        <v>40</v>
      </c>
      <c r="G1146" s="4" t="str">
        <f>"24"</f>
        <v>24</v>
      </c>
      <c r="H1146" s="5">
        <v>0</v>
      </c>
      <c r="I1146" s="3" t="s">
        <v>11</v>
      </c>
    </row>
    <row r="1147" customHeight="1" spans="1:9">
      <c r="A1147" s="3" t="str">
        <f t="shared" si="115"/>
        <v>0105</v>
      </c>
      <c r="B1147" s="3" t="s">
        <v>19</v>
      </c>
      <c r="C1147" s="3" t="str">
        <f>"高柔"</f>
        <v>高柔</v>
      </c>
      <c r="D1147" s="3" t="str">
        <f>"女"</f>
        <v>女</v>
      </c>
      <c r="E1147" s="3" t="str">
        <f>"2507014025"</f>
        <v>2507014025</v>
      </c>
      <c r="F1147" s="3" t="str">
        <f t="shared" si="117"/>
        <v>40</v>
      </c>
      <c r="G1147" s="4" t="str">
        <f>"25"</f>
        <v>25</v>
      </c>
      <c r="H1147" s="5">
        <v>56.8</v>
      </c>
      <c r="I1147" s="3"/>
    </row>
    <row r="1148" customHeight="1" spans="1:9">
      <c r="A1148" s="3" t="str">
        <f t="shared" si="115"/>
        <v>0105</v>
      </c>
      <c r="B1148" s="3" t="s">
        <v>19</v>
      </c>
      <c r="C1148" s="3" t="str">
        <f>"仝玉立"</f>
        <v>仝玉立</v>
      </c>
      <c r="D1148" s="3" t="str">
        <f>"女"</f>
        <v>女</v>
      </c>
      <c r="E1148" s="3" t="str">
        <f>"2507014026"</f>
        <v>2507014026</v>
      </c>
      <c r="F1148" s="3" t="str">
        <f t="shared" si="117"/>
        <v>40</v>
      </c>
      <c r="G1148" s="4" t="str">
        <f>"26"</f>
        <v>26</v>
      </c>
      <c r="H1148" s="5">
        <v>42.4</v>
      </c>
      <c r="I1148" s="3"/>
    </row>
    <row r="1149" customHeight="1" spans="1:9">
      <c r="A1149" s="3" t="str">
        <f t="shared" si="115"/>
        <v>0105</v>
      </c>
      <c r="B1149" s="3" t="s">
        <v>19</v>
      </c>
      <c r="C1149" s="3" t="str">
        <f>"戴威"</f>
        <v>戴威</v>
      </c>
      <c r="D1149" s="3" t="str">
        <f>"男"</f>
        <v>男</v>
      </c>
      <c r="E1149" s="3" t="str">
        <f>"2507014027"</f>
        <v>2507014027</v>
      </c>
      <c r="F1149" s="3" t="str">
        <f t="shared" si="117"/>
        <v>40</v>
      </c>
      <c r="G1149" s="4" t="str">
        <f>"27"</f>
        <v>27</v>
      </c>
      <c r="H1149" s="5">
        <v>59</v>
      </c>
      <c r="I1149" s="3"/>
    </row>
    <row r="1150" customHeight="1" spans="1:9">
      <c r="A1150" s="3" t="str">
        <f t="shared" si="115"/>
        <v>0105</v>
      </c>
      <c r="B1150" s="3" t="s">
        <v>19</v>
      </c>
      <c r="C1150" s="3" t="str">
        <f>"邢瑶"</f>
        <v>邢瑶</v>
      </c>
      <c r="D1150" s="3" t="str">
        <f>"女"</f>
        <v>女</v>
      </c>
      <c r="E1150" s="3" t="str">
        <f>"2507014028"</f>
        <v>2507014028</v>
      </c>
      <c r="F1150" s="3" t="str">
        <f t="shared" si="117"/>
        <v>40</v>
      </c>
      <c r="G1150" s="4" t="str">
        <f>"28"</f>
        <v>28</v>
      </c>
      <c r="H1150" s="5">
        <v>0</v>
      </c>
      <c r="I1150" s="3" t="s">
        <v>11</v>
      </c>
    </row>
    <row r="1151" customHeight="1" spans="1:9">
      <c r="A1151" s="3" t="str">
        <f t="shared" si="115"/>
        <v>0105</v>
      </c>
      <c r="B1151" s="3" t="s">
        <v>19</v>
      </c>
      <c r="C1151" s="3" t="str">
        <f>"杨钰"</f>
        <v>杨钰</v>
      </c>
      <c r="D1151" s="3" t="str">
        <f>"女"</f>
        <v>女</v>
      </c>
      <c r="E1151" s="3" t="str">
        <f>"2507014029"</f>
        <v>2507014029</v>
      </c>
      <c r="F1151" s="3" t="str">
        <f t="shared" si="117"/>
        <v>40</v>
      </c>
      <c r="G1151" s="4" t="str">
        <f>"29"</f>
        <v>29</v>
      </c>
      <c r="H1151" s="5">
        <v>39.7</v>
      </c>
      <c r="I1151" s="3"/>
    </row>
    <row r="1152" customHeight="1" spans="1:9">
      <c r="A1152" s="3" t="str">
        <f t="shared" si="115"/>
        <v>0105</v>
      </c>
      <c r="B1152" s="3" t="s">
        <v>19</v>
      </c>
      <c r="C1152" s="3" t="str">
        <f>"黄赛龙"</f>
        <v>黄赛龙</v>
      </c>
      <c r="D1152" s="3" t="str">
        <f>"男"</f>
        <v>男</v>
      </c>
      <c r="E1152" s="3" t="str">
        <f>"2507014030"</f>
        <v>2507014030</v>
      </c>
      <c r="F1152" s="3" t="str">
        <f t="shared" si="117"/>
        <v>40</v>
      </c>
      <c r="G1152" s="4" t="str">
        <f>"30"</f>
        <v>30</v>
      </c>
      <c r="H1152" s="5">
        <v>64.3</v>
      </c>
      <c r="I1152" s="3"/>
    </row>
    <row r="1153" customHeight="1" spans="1:9">
      <c r="A1153" s="3" t="str">
        <f t="shared" si="115"/>
        <v>0105</v>
      </c>
      <c r="B1153" s="3" t="s">
        <v>19</v>
      </c>
      <c r="C1153" s="3" t="str">
        <f>"曹哲铭"</f>
        <v>曹哲铭</v>
      </c>
      <c r="D1153" s="3" t="str">
        <f>"男"</f>
        <v>男</v>
      </c>
      <c r="E1153" s="3" t="str">
        <f>"2507014101"</f>
        <v>2507014101</v>
      </c>
      <c r="F1153" s="3" t="str">
        <f t="shared" ref="F1153:F1182" si="119">"41"</f>
        <v>41</v>
      </c>
      <c r="G1153" s="4" t="str">
        <f>"01"</f>
        <v>01</v>
      </c>
      <c r="H1153" s="5">
        <v>0</v>
      </c>
      <c r="I1153" s="3" t="s">
        <v>11</v>
      </c>
    </row>
    <row r="1154" customHeight="1" spans="1:9">
      <c r="A1154" s="3" t="str">
        <f t="shared" si="115"/>
        <v>0105</v>
      </c>
      <c r="B1154" s="3" t="s">
        <v>19</v>
      </c>
      <c r="C1154" s="3" t="str">
        <f>"苗馨予"</f>
        <v>苗馨予</v>
      </c>
      <c r="D1154" s="3" t="str">
        <f>"女"</f>
        <v>女</v>
      </c>
      <c r="E1154" s="3" t="str">
        <f>"2507014102"</f>
        <v>2507014102</v>
      </c>
      <c r="F1154" s="3" t="str">
        <f t="shared" si="119"/>
        <v>41</v>
      </c>
      <c r="G1154" s="4" t="str">
        <f>"02"</f>
        <v>02</v>
      </c>
      <c r="H1154" s="5">
        <v>43.4</v>
      </c>
      <c r="I1154" s="3"/>
    </row>
    <row r="1155" customHeight="1" spans="1:9">
      <c r="A1155" s="3" t="str">
        <f t="shared" si="115"/>
        <v>0105</v>
      </c>
      <c r="B1155" s="3" t="s">
        <v>19</v>
      </c>
      <c r="C1155" s="3" t="str">
        <f>"韩耀绪"</f>
        <v>韩耀绪</v>
      </c>
      <c r="D1155" s="3" t="str">
        <f>"男"</f>
        <v>男</v>
      </c>
      <c r="E1155" s="3" t="str">
        <f>"2507014103"</f>
        <v>2507014103</v>
      </c>
      <c r="F1155" s="3" t="str">
        <f t="shared" si="119"/>
        <v>41</v>
      </c>
      <c r="G1155" s="4" t="str">
        <f>"03"</f>
        <v>03</v>
      </c>
      <c r="H1155" s="5">
        <v>0</v>
      </c>
      <c r="I1155" s="3" t="s">
        <v>11</v>
      </c>
    </row>
    <row r="1156" customHeight="1" spans="1:9">
      <c r="A1156" s="3" t="str">
        <f t="shared" si="115"/>
        <v>0105</v>
      </c>
      <c r="B1156" s="3" t="s">
        <v>19</v>
      </c>
      <c r="C1156" s="3" t="str">
        <f>"窦鹏伟"</f>
        <v>窦鹏伟</v>
      </c>
      <c r="D1156" s="3" t="str">
        <f>"男"</f>
        <v>男</v>
      </c>
      <c r="E1156" s="3" t="str">
        <f>"2507014104"</f>
        <v>2507014104</v>
      </c>
      <c r="F1156" s="3" t="str">
        <f t="shared" si="119"/>
        <v>41</v>
      </c>
      <c r="G1156" s="4" t="str">
        <f>"04"</f>
        <v>04</v>
      </c>
      <c r="H1156" s="5">
        <v>56.3</v>
      </c>
      <c r="I1156" s="3"/>
    </row>
    <row r="1157" customHeight="1" spans="1:9">
      <c r="A1157" s="3" t="str">
        <f t="shared" si="115"/>
        <v>0105</v>
      </c>
      <c r="B1157" s="3" t="s">
        <v>19</v>
      </c>
      <c r="C1157" s="3" t="str">
        <f>"丁雨微"</f>
        <v>丁雨微</v>
      </c>
      <c r="D1157" s="3" t="str">
        <f>"女"</f>
        <v>女</v>
      </c>
      <c r="E1157" s="3" t="str">
        <f>"2507014105"</f>
        <v>2507014105</v>
      </c>
      <c r="F1157" s="3" t="str">
        <f t="shared" si="119"/>
        <v>41</v>
      </c>
      <c r="G1157" s="4" t="str">
        <f>"05"</f>
        <v>05</v>
      </c>
      <c r="H1157" s="5">
        <v>0</v>
      </c>
      <c r="I1157" s="3" t="s">
        <v>11</v>
      </c>
    </row>
    <row r="1158" customHeight="1" spans="1:9">
      <c r="A1158" s="3" t="str">
        <f t="shared" si="115"/>
        <v>0105</v>
      </c>
      <c r="B1158" s="3" t="s">
        <v>19</v>
      </c>
      <c r="C1158" s="3" t="str">
        <f>"沙小渲"</f>
        <v>沙小渲</v>
      </c>
      <c r="D1158" s="3" t="str">
        <f>"女"</f>
        <v>女</v>
      </c>
      <c r="E1158" s="3" t="str">
        <f>"2507014106"</f>
        <v>2507014106</v>
      </c>
      <c r="F1158" s="3" t="str">
        <f t="shared" si="119"/>
        <v>41</v>
      </c>
      <c r="G1158" s="4" t="str">
        <f>"06"</f>
        <v>06</v>
      </c>
      <c r="H1158" s="5">
        <v>59</v>
      </c>
      <c r="I1158" s="3"/>
    </row>
    <row r="1159" customHeight="1" spans="1:9">
      <c r="A1159" s="3" t="str">
        <f t="shared" si="115"/>
        <v>0105</v>
      </c>
      <c r="B1159" s="3" t="s">
        <v>19</v>
      </c>
      <c r="C1159" s="3" t="str">
        <f>"宋娜"</f>
        <v>宋娜</v>
      </c>
      <c r="D1159" s="3" t="str">
        <f>"女"</f>
        <v>女</v>
      </c>
      <c r="E1159" s="3" t="str">
        <f>"2507014107"</f>
        <v>2507014107</v>
      </c>
      <c r="F1159" s="3" t="str">
        <f t="shared" si="119"/>
        <v>41</v>
      </c>
      <c r="G1159" s="4" t="str">
        <f>"07"</f>
        <v>07</v>
      </c>
      <c r="H1159" s="5">
        <v>56.3</v>
      </c>
      <c r="I1159" s="3"/>
    </row>
    <row r="1160" customHeight="1" spans="1:9">
      <c r="A1160" s="3" t="str">
        <f t="shared" si="115"/>
        <v>0105</v>
      </c>
      <c r="B1160" s="3" t="s">
        <v>19</v>
      </c>
      <c r="C1160" s="3" t="str">
        <f>"王梦琪"</f>
        <v>王梦琪</v>
      </c>
      <c r="D1160" s="3" t="str">
        <f>"女"</f>
        <v>女</v>
      </c>
      <c r="E1160" s="3" t="str">
        <f>"2507014108"</f>
        <v>2507014108</v>
      </c>
      <c r="F1160" s="3" t="str">
        <f t="shared" si="119"/>
        <v>41</v>
      </c>
      <c r="G1160" s="4" t="str">
        <f>"08"</f>
        <v>08</v>
      </c>
      <c r="H1160" s="5">
        <v>0</v>
      </c>
      <c r="I1160" s="3" t="s">
        <v>11</v>
      </c>
    </row>
    <row r="1161" customHeight="1" spans="1:9">
      <c r="A1161" s="3" t="str">
        <f t="shared" ref="A1161:A1224" si="120">"0105"</f>
        <v>0105</v>
      </c>
      <c r="B1161" s="3" t="s">
        <v>19</v>
      </c>
      <c r="C1161" s="3" t="str">
        <f>"杨翔宇"</f>
        <v>杨翔宇</v>
      </c>
      <c r="D1161" s="3" t="str">
        <f>"男"</f>
        <v>男</v>
      </c>
      <c r="E1161" s="3" t="str">
        <f>"2507014109"</f>
        <v>2507014109</v>
      </c>
      <c r="F1161" s="3" t="str">
        <f t="shared" si="119"/>
        <v>41</v>
      </c>
      <c r="G1161" s="4" t="str">
        <f>"09"</f>
        <v>09</v>
      </c>
      <c r="H1161" s="5">
        <v>53.4</v>
      </c>
      <c r="I1161" s="3"/>
    </row>
    <row r="1162" customHeight="1" spans="1:9">
      <c r="A1162" s="3" t="str">
        <f t="shared" si="120"/>
        <v>0105</v>
      </c>
      <c r="B1162" s="3" t="s">
        <v>19</v>
      </c>
      <c r="C1162" s="3" t="str">
        <f>"蒋道博"</f>
        <v>蒋道博</v>
      </c>
      <c r="D1162" s="3" t="str">
        <f>"女"</f>
        <v>女</v>
      </c>
      <c r="E1162" s="3" t="str">
        <f>"2507014110"</f>
        <v>2507014110</v>
      </c>
      <c r="F1162" s="3" t="str">
        <f t="shared" si="119"/>
        <v>41</v>
      </c>
      <c r="G1162" s="4" t="str">
        <f>"10"</f>
        <v>10</v>
      </c>
      <c r="H1162" s="5">
        <v>59</v>
      </c>
      <c r="I1162" s="3"/>
    </row>
    <row r="1163" customHeight="1" spans="1:9">
      <c r="A1163" s="3" t="str">
        <f t="shared" si="120"/>
        <v>0105</v>
      </c>
      <c r="B1163" s="3" t="s">
        <v>19</v>
      </c>
      <c r="C1163" s="3" t="str">
        <f>"侯玥"</f>
        <v>侯玥</v>
      </c>
      <c r="D1163" s="3" t="str">
        <f>"女"</f>
        <v>女</v>
      </c>
      <c r="E1163" s="3" t="str">
        <f>"2507014111"</f>
        <v>2507014111</v>
      </c>
      <c r="F1163" s="3" t="str">
        <f t="shared" si="119"/>
        <v>41</v>
      </c>
      <c r="G1163" s="4" t="str">
        <f>"11"</f>
        <v>11</v>
      </c>
      <c r="H1163" s="5">
        <v>62.5</v>
      </c>
      <c r="I1163" s="3"/>
    </row>
    <row r="1164" customHeight="1" spans="1:9">
      <c r="A1164" s="3" t="str">
        <f t="shared" si="120"/>
        <v>0105</v>
      </c>
      <c r="B1164" s="3" t="s">
        <v>19</v>
      </c>
      <c r="C1164" s="3" t="str">
        <f>"刘莉"</f>
        <v>刘莉</v>
      </c>
      <c r="D1164" s="3" t="str">
        <f>"女"</f>
        <v>女</v>
      </c>
      <c r="E1164" s="3" t="str">
        <f>"2507014112"</f>
        <v>2507014112</v>
      </c>
      <c r="F1164" s="3" t="str">
        <f t="shared" si="119"/>
        <v>41</v>
      </c>
      <c r="G1164" s="4" t="str">
        <f>"12"</f>
        <v>12</v>
      </c>
      <c r="H1164" s="5">
        <v>66.4</v>
      </c>
      <c r="I1164" s="3"/>
    </row>
    <row r="1165" customHeight="1" spans="1:9">
      <c r="A1165" s="3" t="str">
        <f t="shared" si="120"/>
        <v>0105</v>
      </c>
      <c r="B1165" s="3" t="s">
        <v>19</v>
      </c>
      <c r="C1165" s="3" t="str">
        <f>"李莹莹"</f>
        <v>李莹莹</v>
      </c>
      <c r="D1165" s="3" t="str">
        <f>"女"</f>
        <v>女</v>
      </c>
      <c r="E1165" s="3" t="str">
        <f>"2507014113"</f>
        <v>2507014113</v>
      </c>
      <c r="F1165" s="3" t="str">
        <f t="shared" si="119"/>
        <v>41</v>
      </c>
      <c r="G1165" s="4" t="str">
        <f>"13"</f>
        <v>13</v>
      </c>
      <c r="H1165" s="5">
        <v>0</v>
      </c>
      <c r="I1165" s="3" t="s">
        <v>11</v>
      </c>
    </row>
    <row r="1166" customHeight="1" spans="1:9">
      <c r="A1166" s="3" t="str">
        <f t="shared" si="120"/>
        <v>0105</v>
      </c>
      <c r="B1166" s="3" t="s">
        <v>19</v>
      </c>
      <c r="C1166" s="3" t="str">
        <f>"许崇华"</f>
        <v>许崇华</v>
      </c>
      <c r="D1166" s="3" t="str">
        <f>"男"</f>
        <v>男</v>
      </c>
      <c r="E1166" s="3" t="str">
        <f>"2507014114"</f>
        <v>2507014114</v>
      </c>
      <c r="F1166" s="3" t="str">
        <f t="shared" si="119"/>
        <v>41</v>
      </c>
      <c r="G1166" s="4" t="str">
        <f>"14"</f>
        <v>14</v>
      </c>
      <c r="H1166" s="5">
        <v>52.5</v>
      </c>
      <c r="I1166" s="3"/>
    </row>
    <row r="1167" customHeight="1" spans="1:9">
      <c r="A1167" s="3" t="str">
        <f t="shared" si="120"/>
        <v>0105</v>
      </c>
      <c r="B1167" s="3" t="s">
        <v>19</v>
      </c>
      <c r="C1167" s="3" t="str">
        <f>"贺雪纯"</f>
        <v>贺雪纯</v>
      </c>
      <c r="D1167" s="3" t="str">
        <f>"女"</f>
        <v>女</v>
      </c>
      <c r="E1167" s="3" t="str">
        <f>"2507014115"</f>
        <v>2507014115</v>
      </c>
      <c r="F1167" s="3" t="str">
        <f t="shared" si="119"/>
        <v>41</v>
      </c>
      <c r="G1167" s="4" t="str">
        <f>"15"</f>
        <v>15</v>
      </c>
      <c r="H1167" s="5">
        <v>49.4</v>
      </c>
      <c r="I1167" s="3"/>
    </row>
    <row r="1168" customHeight="1" spans="1:9">
      <c r="A1168" s="3" t="str">
        <f t="shared" si="120"/>
        <v>0105</v>
      </c>
      <c r="B1168" s="3" t="s">
        <v>19</v>
      </c>
      <c r="C1168" s="3" t="str">
        <f>"黄嵩雅"</f>
        <v>黄嵩雅</v>
      </c>
      <c r="D1168" s="3" t="str">
        <f>"女"</f>
        <v>女</v>
      </c>
      <c r="E1168" s="3" t="str">
        <f>"2507014116"</f>
        <v>2507014116</v>
      </c>
      <c r="F1168" s="3" t="str">
        <f t="shared" si="119"/>
        <v>41</v>
      </c>
      <c r="G1168" s="4" t="str">
        <f>"16"</f>
        <v>16</v>
      </c>
      <c r="H1168" s="5">
        <v>53.5</v>
      </c>
      <c r="I1168" s="3"/>
    </row>
    <row r="1169" customHeight="1" spans="1:9">
      <c r="A1169" s="3" t="str">
        <f t="shared" si="120"/>
        <v>0105</v>
      </c>
      <c r="B1169" s="3" t="s">
        <v>19</v>
      </c>
      <c r="C1169" s="3" t="str">
        <f>"谢青序"</f>
        <v>谢青序</v>
      </c>
      <c r="D1169" s="3" t="str">
        <f>"女"</f>
        <v>女</v>
      </c>
      <c r="E1169" s="3" t="str">
        <f>"2507014117"</f>
        <v>2507014117</v>
      </c>
      <c r="F1169" s="3" t="str">
        <f t="shared" si="119"/>
        <v>41</v>
      </c>
      <c r="G1169" s="4" t="str">
        <f>"17"</f>
        <v>17</v>
      </c>
      <c r="H1169" s="5">
        <v>0</v>
      </c>
      <c r="I1169" s="3" t="s">
        <v>11</v>
      </c>
    </row>
    <row r="1170" customHeight="1" spans="1:9">
      <c r="A1170" s="3" t="str">
        <f t="shared" si="120"/>
        <v>0105</v>
      </c>
      <c r="B1170" s="3" t="s">
        <v>19</v>
      </c>
      <c r="C1170" s="3" t="str">
        <f>"崔诗若"</f>
        <v>崔诗若</v>
      </c>
      <c r="D1170" s="3" t="str">
        <f>"女"</f>
        <v>女</v>
      </c>
      <c r="E1170" s="3" t="str">
        <f>"2507014118"</f>
        <v>2507014118</v>
      </c>
      <c r="F1170" s="3" t="str">
        <f t="shared" si="119"/>
        <v>41</v>
      </c>
      <c r="G1170" s="4" t="str">
        <f>"18"</f>
        <v>18</v>
      </c>
      <c r="H1170" s="5">
        <v>56.4</v>
      </c>
      <c r="I1170" s="3"/>
    </row>
    <row r="1171" customHeight="1" spans="1:9">
      <c r="A1171" s="3" t="str">
        <f t="shared" si="120"/>
        <v>0105</v>
      </c>
      <c r="B1171" s="3" t="s">
        <v>19</v>
      </c>
      <c r="C1171" s="3" t="str">
        <f>"罗晓雨"</f>
        <v>罗晓雨</v>
      </c>
      <c r="D1171" s="3" t="str">
        <f>"女"</f>
        <v>女</v>
      </c>
      <c r="E1171" s="3" t="str">
        <f>"2507014119"</f>
        <v>2507014119</v>
      </c>
      <c r="F1171" s="3" t="str">
        <f t="shared" si="119"/>
        <v>41</v>
      </c>
      <c r="G1171" s="4" t="str">
        <f>"19"</f>
        <v>19</v>
      </c>
      <c r="H1171" s="5">
        <v>45.6</v>
      </c>
      <c r="I1171" s="3"/>
    </row>
    <row r="1172" customHeight="1" spans="1:9">
      <c r="A1172" s="3" t="str">
        <f t="shared" si="120"/>
        <v>0105</v>
      </c>
      <c r="B1172" s="3" t="s">
        <v>19</v>
      </c>
      <c r="C1172" s="3" t="str">
        <f>"管鹏程"</f>
        <v>管鹏程</v>
      </c>
      <c r="D1172" s="3" t="str">
        <f>"男"</f>
        <v>男</v>
      </c>
      <c r="E1172" s="3" t="str">
        <f>"2507014120"</f>
        <v>2507014120</v>
      </c>
      <c r="F1172" s="3" t="str">
        <f t="shared" si="119"/>
        <v>41</v>
      </c>
      <c r="G1172" s="4" t="str">
        <f>"20"</f>
        <v>20</v>
      </c>
      <c r="H1172" s="5">
        <v>43.8</v>
      </c>
      <c r="I1172" s="3"/>
    </row>
    <row r="1173" customHeight="1" spans="1:9">
      <c r="A1173" s="3" t="str">
        <f t="shared" si="120"/>
        <v>0105</v>
      </c>
      <c r="B1173" s="3" t="s">
        <v>19</v>
      </c>
      <c r="C1173" s="3" t="str">
        <f>"张莉"</f>
        <v>张莉</v>
      </c>
      <c r="D1173" s="3" t="str">
        <f>"女"</f>
        <v>女</v>
      </c>
      <c r="E1173" s="3" t="str">
        <f>"2507014121"</f>
        <v>2507014121</v>
      </c>
      <c r="F1173" s="3" t="str">
        <f t="shared" si="119"/>
        <v>41</v>
      </c>
      <c r="G1173" s="4" t="str">
        <f>"21"</f>
        <v>21</v>
      </c>
      <c r="H1173" s="5">
        <v>60.2</v>
      </c>
      <c r="I1173" s="3"/>
    </row>
    <row r="1174" customHeight="1" spans="1:9">
      <c r="A1174" s="3" t="str">
        <f t="shared" si="120"/>
        <v>0105</v>
      </c>
      <c r="B1174" s="3" t="s">
        <v>19</v>
      </c>
      <c r="C1174" s="3" t="str">
        <f>"武丹丹"</f>
        <v>武丹丹</v>
      </c>
      <c r="D1174" s="3" t="str">
        <f>"女"</f>
        <v>女</v>
      </c>
      <c r="E1174" s="3" t="str">
        <f>"2507014122"</f>
        <v>2507014122</v>
      </c>
      <c r="F1174" s="3" t="str">
        <f t="shared" si="119"/>
        <v>41</v>
      </c>
      <c r="G1174" s="4" t="str">
        <f>"22"</f>
        <v>22</v>
      </c>
      <c r="H1174" s="5">
        <v>42.1</v>
      </c>
      <c r="I1174" s="3"/>
    </row>
    <row r="1175" customHeight="1" spans="1:9">
      <c r="A1175" s="3" t="str">
        <f t="shared" si="120"/>
        <v>0105</v>
      </c>
      <c r="B1175" s="3" t="s">
        <v>19</v>
      </c>
      <c r="C1175" s="3" t="str">
        <f>"沈焕悦"</f>
        <v>沈焕悦</v>
      </c>
      <c r="D1175" s="3" t="str">
        <f>"女"</f>
        <v>女</v>
      </c>
      <c r="E1175" s="3" t="str">
        <f>"2507014123"</f>
        <v>2507014123</v>
      </c>
      <c r="F1175" s="3" t="str">
        <f t="shared" si="119"/>
        <v>41</v>
      </c>
      <c r="G1175" s="4" t="str">
        <f>"23"</f>
        <v>23</v>
      </c>
      <c r="H1175" s="5">
        <v>39.7</v>
      </c>
      <c r="I1175" s="3"/>
    </row>
    <row r="1176" customHeight="1" spans="1:9">
      <c r="A1176" s="3" t="str">
        <f t="shared" si="120"/>
        <v>0105</v>
      </c>
      <c r="B1176" s="3" t="s">
        <v>19</v>
      </c>
      <c r="C1176" s="3" t="str">
        <f>"郑康"</f>
        <v>郑康</v>
      </c>
      <c r="D1176" s="3" t="str">
        <f>"男"</f>
        <v>男</v>
      </c>
      <c r="E1176" s="3" t="str">
        <f>"2507014124"</f>
        <v>2507014124</v>
      </c>
      <c r="F1176" s="3" t="str">
        <f t="shared" si="119"/>
        <v>41</v>
      </c>
      <c r="G1176" s="4" t="str">
        <f>"24"</f>
        <v>24</v>
      </c>
      <c r="H1176" s="5">
        <v>58</v>
      </c>
      <c r="I1176" s="3"/>
    </row>
    <row r="1177" customHeight="1" spans="1:9">
      <c r="A1177" s="3" t="str">
        <f t="shared" si="120"/>
        <v>0105</v>
      </c>
      <c r="B1177" s="3" t="s">
        <v>19</v>
      </c>
      <c r="C1177" s="3" t="str">
        <f>"王印群"</f>
        <v>王印群</v>
      </c>
      <c r="D1177" s="3" t="str">
        <f>"男"</f>
        <v>男</v>
      </c>
      <c r="E1177" s="3" t="str">
        <f>"2507014125"</f>
        <v>2507014125</v>
      </c>
      <c r="F1177" s="3" t="str">
        <f t="shared" si="119"/>
        <v>41</v>
      </c>
      <c r="G1177" s="4" t="str">
        <f>"25"</f>
        <v>25</v>
      </c>
      <c r="H1177" s="5">
        <v>54.3</v>
      </c>
      <c r="I1177" s="3"/>
    </row>
    <row r="1178" customHeight="1" spans="1:9">
      <c r="A1178" s="3" t="str">
        <f t="shared" si="120"/>
        <v>0105</v>
      </c>
      <c r="B1178" s="3" t="s">
        <v>19</v>
      </c>
      <c r="C1178" s="3" t="str">
        <f>"李明璇"</f>
        <v>李明璇</v>
      </c>
      <c r="D1178" s="3" t="str">
        <f>"女"</f>
        <v>女</v>
      </c>
      <c r="E1178" s="3" t="str">
        <f>"2507014126"</f>
        <v>2507014126</v>
      </c>
      <c r="F1178" s="3" t="str">
        <f t="shared" si="119"/>
        <v>41</v>
      </c>
      <c r="G1178" s="4" t="str">
        <f>"26"</f>
        <v>26</v>
      </c>
      <c r="H1178" s="5">
        <v>47.9</v>
      </c>
      <c r="I1178" s="3"/>
    </row>
    <row r="1179" customHeight="1" spans="1:9">
      <c r="A1179" s="3" t="str">
        <f t="shared" si="120"/>
        <v>0105</v>
      </c>
      <c r="B1179" s="3" t="s">
        <v>19</v>
      </c>
      <c r="C1179" s="3" t="str">
        <f>"张华军"</f>
        <v>张华军</v>
      </c>
      <c r="D1179" s="3" t="str">
        <f>"男"</f>
        <v>男</v>
      </c>
      <c r="E1179" s="3" t="str">
        <f>"2507014127"</f>
        <v>2507014127</v>
      </c>
      <c r="F1179" s="3" t="str">
        <f t="shared" si="119"/>
        <v>41</v>
      </c>
      <c r="G1179" s="4" t="str">
        <f>"27"</f>
        <v>27</v>
      </c>
      <c r="H1179" s="5">
        <v>52.7</v>
      </c>
      <c r="I1179" s="3"/>
    </row>
    <row r="1180" customHeight="1" spans="1:9">
      <c r="A1180" s="3" t="str">
        <f t="shared" si="120"/>
        <v>0105</v>
      </c>
      <c r="B1180" s="3" t="s">
        <v>19</v>
      </c>
      <c r="C1180" s="3" t="str">
        <f>"崔星"</f>
        <v>崔星</v>
      </c>
      <c r="D1180" s="3" t="str">
        <f>"女"</f>
        <v>女</v>
      </c>
      <c r="E1180" s="3" t="str">
        <f>"2507014128"</f>
        <v>2507014128</v>
      </c>
      <c r="F1180" s="3" t="str">
        <f t="shared" si="119"/>
        <v>41</v>
      </c>
      <c r="G1180" s="4" t="str">
        <f>"28"</f>
        <v>28</v>
      </c>
      <c r="H1180" s="5">
        <v>65.2</v>
      </c>
      <c r="I1180" s="3"/>
    </row>
    <row r="1181" customHeight="1" spans="1:9">
      <c r="A1181" s="3" t="str">
        <f t="shared" si="120"/>
        <v>0105</v>
      </c>
      <c r="B1181" s="3" t="s">
        <v>19</v>
      </c>
      <c r="C1181" s="3" t="str">
        <f>"梁洁伟"</f>
        <v>梁洁伟</v>
      </c>
      <c r="D1181" s="3" t="str">
        <f>"女"</f>
        <v>女</v>
      </c>
      <c r="E1181" s="3" t="str">
        <f>"2507014129"</f>
        <v>2507014129</v>
      </c>
      <c r="F1181" s="3" t="str">
        <f t="shared" si="119"/>
        <v>41</v>
      </c>
      <c r="G1181" s="4" t="str">
        <f>"29"</f>
        <v>29</v>
      </c>
      <c r="H1181" s="5">
        <v>0</v>
      </c>
      <c r="I1181" s="3" t="s">
        <v>11</v>
      </c>
    </row>
    <row r="1182" customHeight="1" spans="1:9">
      <c r="A1182" s="3" t="str">
        <f t="shared" si="120"/>
        <v>0105</v>
      </c>
      <c r="B1182" s="3" t="s">
        <v>19</v>
      </c>
      <c r="C1182" s="3" t="str">
        <f>"周怡彤"</f>
        <v>周怡彤</v>
      </c>
      <c r="D1182" s="3" t="str">
        <f>"女"</f>
        <v>女</v>
      </c>
      <c r="E1182" s="3" t="str">
        <f>"2507014130"</f>
        <v>2507014130</v>
      </c>
      <c r="F1182" s="3" t="str">
        <f t="shared" si="119"/>
        <v>41</v>
      </c>
      <c r="G1182" s="4" t="str">
        <f>"30"</f>
        <v>30</v>
      </c>
      <c r="H1182" s="5">
        <v>40</v>
      </c>
      <c r="I1182" s="3"/>
    </row>
    <row r="1183" customHeight="1" spans="1:9">
      <c r="A1183" s="3" t="str">
        <f t="shared" si="120"/>
        <v>0105</v>
      </c>
      <c r="B1183" s="3" t="s">
        <v>19</v>
      </c>
      <c r="C1183" s="3" t="str">
        <f>"胡钰"</f>
        <v>胡钰</v>
      </c>
      <c r="D1183" s="3" t="str">
        <f>"男"</f>
        <v>男</v>
      </c>
      <c r="E1183" s="3" t="str">
        <f>"2507014201"</f>
        <v>2507014201</v>
      </c>
      <c r="F1183" s="3" t="str">
        <f t="shared" ref="F1183:F1212" si="121">"42"</f>
        <v>42</v>
      </c>
      <c r="G1183" s="4" t="str">
        <f>"01"</f>
        <v>01</v>
      </c>
      <c r="H1183" s="5">
        <v>0</v>
      </c>
      <c r="I1183" s="3" t="s">
        <v>11</v>
      </c>
    </row>
    <row r="1184" customHeight="1" spans="1:9">
      <c r="A1184" s="3" t="str">
        <f t="shared" si="120"/>
        <v>0105</v>
      </c>
      <c r="B1184" s="3" t="s">
        <v>19</v>
      </c>
      <c r="C1184" s="3" t="str">
        <f>"凌梓恒"</f>
        <v>凌梓恒</v>
      </c>
      <c r="D1184" s="3" t="str">
        <f>"男"</f>
        <v>男</v>
      </c>
      <c r="E1184" s="3" t="str">
        <f>"2507014202"</f>
        <v>2507014202</v>
      </c>
      <c r="F1184" s="3" t="str">
        <f t="shared" si="121"/>
        <v>42</v>
      </c>
      <c r="G1184" s="4" t="str">
        <f>"02"</f>
        <v>02</v>
      </c>
      <c r="H1184" s="5">
        <v>63.6</v>
      </c>
      <c r="I1184" s="3"/>
    </row>
    <row r="1185" customHeight="1" spans="1:9">
      <c r="A1185" s="3" t="str">
        <f t="shared" si="120"/>
        <v>0105</v>
      </c>
      <c r="B1185" s="3" t="s">
        <v>19</v>
      </c>
      <c r="C1185" s="3" t="str">
        <f>"杨思源"</f>
        <v>杨思源</v>
      </c>
      <c r="D1185" s="3" t="str">
        <f>"女"</f>
        <v>女</v>
      </c>
      <c r="E1185" s="3" t="str">
        <f>"2507014203"</f>
        <v>2507014203</v>
      </c>
      <c r="F1185" s="3" t="str">
        <f t="shared" si="121"/>
        <v>42</v>
      </c>
      <c r="G1185" s="4" t="str">
        <f>"03"</f>
        <v>03</v>
      </c>
      <c r="H1185" s="5">
        <v>66.1</v>
      </c>
      <c r="I1185" s="3"/>
    </row>
    <row r="1186" customHeight="1" spans="1:9">
      <c r="A1186" s="3" t="str">
        <f t="shared" si="120"/>
        <v>0105</v>
      </c>
      <c r="B1186" s="3" t="s">
        <v>19</v>
      </c>
      <c r="C1186" s="3" t="str">
        <f>"朱福"</f>
        <v>朱福</v>
      </c>
      <c r="D1186" s="3" t="str">
        <f>"男"</f>
        <v>男</v>
      </c>
      <c r="E1186" s="3" t="str">
        <f>"2507014204"</f>
        <v>2507014204</v>
      </c>
      <c r="F1186" s="3" t="str">
        <f t="shared" si="121"/>
        <v>42</v>
      </c>
      <c r="G1186" s="4" t="str">
        <f>"04"</f>
        <v>04</v>
      </c>
      <c r="H1186" s="5">
        <v>45.7</v>
      </c>
      <c r="I1186" s="3"/>
    </row>
    <row r="1187" customHeight="1" spans="1:9">
      <c r="A1187" s="3" t="str">
        <f t="shared" si="120"/>
        <v>0105</v>
      </c>
      <c r="B1187" s="3" t="s">
        <v>19</v>
      </c>
      <c r="C1187" s="3" t="str">
        <f>"朱琳"</f>
        <v>朱琳</v>
      </c>
      <c r="D1187" s="3" t="str">
        <f>"女"</f>
        <v>女</v>
      </c>
      <c r="E1187" s="3" t="str">
        <f>"2507014205"</f>
        <v>2507014205</v>
      </c>
      <c r="F1187" s="3" t="str">
        <f t="shared" si="121"/>
        <v>42</v>
      </c>
      <c r="G1187" s="4" t="str">
        <f>"05"</f>
        <v>05</v>
      </c>
      <c r="H1187" s="5">
        <v>55</v>
      </c>
      <c r="I1187" s="3"/>
    </row>
    <row r="1188" customHeight="1" spans="1:9">
      <c r="A1188" s="3" t="str">
        <f t="shared" si="120"/>
        <v>0105</v>
      </c>
      <c r="B1188" s="3" t="s">
        <v>19</v>
      </c>
      <c r="C1188" s="3" t="str">
        <f>"薛景钊"</f>
        <v>薛景钊</v>
      </c>
      <c r="D1188" s="3" t="str">
        <f>"男"</f>
        <v>男</v>
      </c>
      <c r="E1188" s="3" t="str">
        <f>"2507014206"</f>
        <v>2507014206</v>
      </c>
      <c r="F1188" s="3" t="str">
        <f t="shared" si="121"/>
        <v>42</v>
      </c>
      <c r="G1188" s="4" t="str">
        <f>"06"</f>
        <v>06</v>
      </c>
      <c r="H1188" s="5">
        <v>59.3</v>
      </c>
      <c r="I1188" s="3"/>
    </row>
    <row r="1189" customHeight="1" spans="1:9">
      <c r="A1189" s="3" t="str">
        <f t="shared" si="120"/>
        <v>0105</v>
      </c>
      <c r="B1189" s="3" t="s">
        <v>19</v>
      </c>
      <c r="C1189" s="3" t="str">
        <f>"王宽"</f>
        <v>王宽</v>
      </c>
      <c r="D1189" s="3" t="str">
        <f>"男"</f>
        <v>男</v>
      </c>
      <c r="E1189" s="3" t="str">
        <f>"2507014207"</f>
        <v>2507014207</v>
      </c>
      <c r="F1189" s="3" t="str">
        <f t="shared" si="121"/>
        <v>42</v>
      </c>
      <c r="G1189" s="4" t="str">
        <f>"07"</f>
        <v>07</v>
      </c>
      <c r="H1189" s="5">
        <v>64</v>
      </c>
      <c r="I1189" s="3"/>
    </row>
    <row r="1190" customHeight="1" spans="1:9">
      <c r="A1190" s="3" t="str">
        <f t="shared" si="120"/>
        <v>0105</v>
      </c>
      <c r="B1190" s="3" t="s">
        <v>19</v>
      </c>
      <c r="C1190" s="3" t="str">
        <f>"孙晓涵"</f>
        <v>孙晓涵</v>
      </c>
      <c r="D1190" s="3" t="str">
        <f>"女"</f>
        <v>女</v>
      </c>
      <c r="E1190" s="3" t="str">
        <f>"2507014208"</f>
        <v>2507014208</v>
      </c>
      <c r="F1190" s="3" t="str">
        <f t="shared" si="121"/>
        <v>42</v>
      </c>
      <c r="G1190" s="4" t="str">
        <f>"08"</f>
        <v>08</v>
      </c>
      <c r="H1190" s="5">
        <v>55.6</v>
      </c>
      <c r="I1190" s="3"/>
    </row>
    <row r="1191" customHeight="1" spans="1:9">
      <c r="A1191" s="3" t="str">
        <f t="shared" si="120"/>
        <v>0105</v>
      </c>
      <c r="B1191" s="3" t="s">
        <v>19</v>
      </c>
      <c r="C1191" s="3" t="str">
        <f>"刘芝琳"</f>
        <v>刘芝琳</v>
      </c>
      <c r="D1191" s="3" t="str">
        <f>"女"</f>
        <v>女</v>
      </c>
      <c r="E1191" s="3" t="str">
        <f>"2507014209"</f>
        <v>2507014209</v>
      </c>
      <c r="F1191" s="3" t="str">
        <f t="shared" si="121"/>
        <v>42</v>
      </c>
      <c r="G1191" s="4" t="str">
        <f>"09"</f>
        <v>09</v>
      </c>
      <c r="H1191" s="5">
        <v>40.9</v>
      </c>
      <c r="I1191" s="3"/>
    </row>
    <row r="1192" customHeight="1" spans="1:9">
      <c r="A1192" s="3" t="str">
        <f t="shared" si="120"/>
        <v>0105</v>
      </c>
      <c r="B1192" s="3" t="s">
        <v>19</v>
      </c>
      <c r="C1192" s="3" t="str">
        <f>"郑艺"</f>
        <v>郑艺</v>
      </c>
      <c r="D1192" s="3" t="str">
        <f>"女"</f>
        <v>女</v>
      </c>
      <c r="E1192" s="3" t="str">
        <f>"2507014210"</f>
        <v>2507014210</v>
      </c>
      <c r="F1192" s="3" t="str">
        <f t="shared" si="121"/>
        <v>42</v>
      </c>
      <c r="G1192" s="4" t="str">
        <f>"10"</f>
        <v>10</v>
      </c>
      <c r="H1192" s="5">
        <v>55.5</v>
      </c>
      <c r="I1192" s="3"/>
    </row>
    <row r="1193" customHeight="1" spans="1:9">
      <c r="A1193" s="3" t="str">
        <f t="shared" si="120"/>
        <v>0105</v>
      </c>
      <c r="B1193" s="3" t="s">
        <v>19</v>
      </c>
      <c r="C1193" s="3" t="str">
        <f>"盛思涵"</f>
        <v>盛思涵</v>
      </c>
      <c r="D1193" s="3" t="str">
        <f>"男"</f>
        <v>男</v>
      </c>
      <c r="E1193" s="3" t="str">
        <f>"2507014211"</f>
        <v>2507014211</v>
      </c>
      <c r="F1193" s="3" t="str">
        <f t="shared" si="121"/>
        <v>42</v>
      </c>
      <c r="G1193" s="4" t="str">
        <f>"11"</f>
        <v>11</v>
      </c>
      <c r="H1193" s="5">
        <v>47.6</v>
      </c>
      <c r="I1193" s="3"/>
    </row>
    <row r="1194" customHeight="1" spans="1:9">
      <c r="A1194" s="3" t="str">
        <f t="shared" si="120"/>
        <v>0105</v>
      </c>
      <c r="B1194" s="3" t="s">
        <v>19</v>
      </c>
      <c r="C1194" s="3" t="str">
        <f>"高敏"</f>
        <v>高敏</v>
      </c>
      <c r="D1194" s="3" t="str">
        <f t="shared" ref="D1194:D1201" si="122">"女"</f>
        <v>女</v>
      </c>
      <c r="E1194" s="3" t="str">
        <f>"2507014212"</f>
        <v>2507014212</v>
      </c>
      <c r="F1194" s="3" t="str">
        <f t="shared" si="121"/>
        <v>42</v>
      </c>
      <c r="G1194" s="4" t="str">
        <f>"12"</f>
        <v>12</v>
      </c>
      <c r="H1194" s="5">
        <v>51.6</v>
      </c>
      <c r="I1194" s="3"/>
    </row>
    <row r="1195" customHeight="1" spans="1:9">
      <c r="A1195" s="3" t="str">
        <f t="shared" si="120"/>
        <v>0105</v>
      </c>
      <c r="B1195" s="3" t="s">
        <v>19</v>
      </c>
      <c r="C1195" s="3" t="str">
        <f>"王月莹"</f>
        <v>王月莹</v>
      </c>
      <c r="D1195" s="3" t="str">
        <f t="shared" si="122"/>
        <v>女</v>
      </c>
      <c r="E1195" s="3" t="str">
        <f>"2507014213"</f>
        <v>2507014213</v>
      </c>
      <c r="F1195" s="3" t="str">
        <f t="shared" si="121"/>
        <v>42</v>
      </c>
      <c r="G1195" s="4" t="str">
        <f>"13"</f>
        <v>13</v>
      </c>
      <c r="H1195" s="5">
        <v>56.4</v>
      </c>
      <c r="I1195" s="3"/>
    </row>
    <row r="1196" customHeight="1" spans="1:9">
      <c r="A1196" s="3" t="str">
        <f t="shared" si="120"/>
        <v>0105</v>
      </c>
      <c r="B1196" s="3" t="s">
        <v>19</v>
      </c>
      <c r="C1196" s="3" t="str">
        <f>"汪云"</f>
        <v>汪云</v>
      </c>
      <c r="D1196" s="3" t="str">
        <f t="shared" si="122"/>
        <v>女</v>
      </c>
      <c r="E1196" s="3" t="str">
        <f>"2507014214"</f>
        <v>2507014214</v>
      </c>
      <c r="F1196" s="3" t="str">
        <f t="shared" si="121"/>
        <v>42</v>
      </c>
      <c r="G1196" s="4" t="str">
        <f>"14"</f>
        <v>14</v>
      </c>
      <c r="H1196" s="5">
        <v>64.8</v>
      </c>
      <c r="I1196" s="3"/>
    </row>
    <row r="1197" customHeight="1" spans="1:9">
      <c r="A1197" s="3" t="str">
        <f t="shared" si="120"/>
        <v>0105</v>
      </c>
      <c r="B1197" s="3" t="s">
        <v>19</v>
      </c>
      <c r="C1197" s="3" t="str">
        <f>"陆苗苗"</f>
        <v>陆苗苗</v>
      </c>
      <c r="D1197" s="3" t="str">
        <f t="shared" si="122"/>
        <v>女</v>
      </c>
      <c r="E1197" s="3" t="str">
        <f>"2507014215"</f>
        <v>2507014215</v>
      </c>
      <c r="F1197" s="3" t="str">
        <f t="shared" si="121"/>
        <v>42</v>
      </c>
      <c r="G1197" s="4" t="str">
        <f>"15"</f>
        <v>15</v>
      </c>
      <c r="H1197" s="5">
        <v>56.7</v>
      </c>
      <c r="I1197" s="3"/>
    </row>
    <row r="1198" customHeight="1" spans="1:9">
      <c r="A1198" s="3" t="str">
        <f t="shared" si="120"/>
        <v>0105</v>
      </c>
      <c r="B1198" s="3" t="s">
        <v>19</v>
      </c>
      <c r="C1198" s="3" t="str">
        <f>"王香君"</f>
        <v>王香君</v>
      </c>
      <c r="D1198" s="3" t="str">
        <f t="shared" si="122"/>
        <v>女</v>
      </c>
      <c r="E1198" s="3" t="str">
        <f>"2507014216"</f>
        <v>2507014216</v>
      </c>
      <c r="F1198" s="3" t="str">
        <f t="shared" si="121"/>
        <v>42</v>
      </c>
      <c r="G1198" s="4" t="str">
        <f>"16"</f>
        <v>16</v>
      </c>
      <c r="H1198" s="5">
        <v>0</v>
      </c>
      <c r="I1198" s="3" t="s">
        <v>11</v>
      </c>
    </row>
    <row r="1199" customHeight="1" spans="1:9">
      <c r="A1199" s="3" t="str">
        <f t="shared" si="120"/>
        <v>0105</v>
      </c>
      <c r="B1199" s="3" t="s">
        <v>19</v>
      </c>
      <c r="C1199" s="3" t="str">
        <f>"王梦寒"</f>
        <v>王梦寒</v>
      </c>
      <c r="D1199" s="3" t="str">
        <f t="shared" si="122"/>
        <v>女</v>
      </c>
      <c r="E1199" s="3" t="str">
        <f>"2507014217"</f>
        <v>2507014217</v>
      </c>
      <c r="F1199" s="3" t="str">
        <f t="shared" si="121"/>
        <v>42</v>
      </c>
      <c r="G1199" s="4" t="str">
        <f>"17"</f>
        <v>17</v>
      </c>
      <c r="H1199" s="5">
        <v>0</v>
      </c>
      <c r="I1199" s="3" t="s">
        <v>11</v>
      </c>
    </row>
    <row r="1200" customHeight="1" spans="1:9">
      <c r="A1200" s="3" t="str">
        <f t="shared" si="120"/>
        <v>0105</v>
      </c>
      <c r="B1200" s="3" t="s">
        <v>19</v>
      </c>
      <c r="C1200" s="3" t="str">
        <f>"孙湘宜"</f>
        <v>孙湘宜</v>
      </c>
      <c r="D1200" s="3" t="str">
        <f t="shared" si="122"/>
        <v>女</v>
      </c>
      <c r="E1200" s="3" t="str">
        <f>"2507014218"</f>
        <v>2507014218</v>
      </c>
      <c r="F1200" s="3" t="str">
        <f t="shared" si="121"/>
        <v>42</v>
      </c>
      <c r="G1200" s="4" t="str">
        <f>"18"</f>
        <v>18</v>
      </c>
      <c r="H1200" s="5">
        <v>58.3</v>
      </c>
      <c r="I1200" s="3"/>
    </row>
    <row r="1201" customHeight="1" spans="1:9">
      <c r="A1201" s="3" t="str">
        <f t="shared" si="120"/>
        <v>0105</v>
      </c>
      <c r="B1201" s="3" t="s">
        <v>19</v>
      </c>
      <c r="C1201" s="3" t="str">
        <f>"杨紫"</f>
        <v>杨紫</v>
      </c>
      <c r="D1201" s="3" t="str">
        <f t="shared" si="122"/>
        <v>女</v>
      </c>
      <c r="E1201" s="3" t="str">
        <f>"2507014219"</f>
        <v>2507014219</v>
      </c>
      <c r="F1201" s="3" t="str">
        <f t="shared" si="121"/>
        <v>42</v>
      </c>
      <c r="G1201" s="4" t="str">
        <f>"19"</f>
        <v>19</v>
      </c>
      <c r="H1201" s="5">
        <v>72.4</v>
      </c>
      <c r="I1201" s="3"/>
    </row>
    <row r="1202" customHeight="1" spans="1:9">
      <c r="A1202" s="3" t="str">
        <f t="shared" si="120"/>
        <v>0105</v>
      </c>
      <c r="B1202" s="3" t="s">
        <v>19</v>
      </c>
      <c r="C1202" s="3" t="str">
        <f>"李克"</f>
        <v>李克</v>
      </c>
      <c r="D1202" s="3" t="str">
        <f>"男"</f>
        <v>男</v>
      </c>
      <c r="E1202" s="3" t="str">
        <f>"2507014220"</f>
        <v>2507014220</v>
      </c>
      <c r="F1202" s="3" t="str">
        <f t="shared" si="121"/>
        <v>42</v>
      </c>
      <c r="G1202" s="4" t="str">
        <f>"20"</f>
        <v>20</v>
      </c>
      <c r="H1202" s="5">
        <v>59.1</v>
      </c>
      <c r="I1202" s="3"/>
    </row>
    <row r="1203" customHeight="1" spans="1:9">
      <c r="A1203" s="3" t="str">
        <f t="shared" si="120"/>
        <v>0105</v>
      </c>
      <c r="B1203" s="3" t="s">
        <v>19</v>
      </c>
      <c r="C1203" s="3" t="str">
        <f>"王昊"</f>
        <v>王昊</v>
      </c>
      <c r="D1203" s="3" t="str">
        <f>"女"</f>
        <v>女</v>
      </c>
      <c r="E1203" s="3" t="str">
        <f>"2507014221"</f>
        <v>2507014221</v>
      </c>
      <c r="F1203" s="3" t="str">
        <f t="shared" si="121"/>
        <v>42</v>
      </c>
      <c r="G1203" s="4" t="str">
        <f>"21"</f>
        <v>21</v>
      </c>
      <c r="H1203" s="5">
        <v>50.7</v>
      </c>
      <c r="I1203" s="3"/>
    </row>
    <row r="1204" customHeight="1" spans="1:9">
      <c r="A1204" s="3" t="str">
        <f t="shared" si="120"/>
        <v>0105</v>
      </c>
      <c r="B1204" s="3" t="s">
        <v>19</v>
      </c>
      <c r="C1204" s="3" t="str">
        <f>"潘品豫"</f>
        <v>潘品豫</v>
      </c>
      <c r="D1204" s="3" t="str">
        <f>"男"</f>
        <v>男</v>
      </c>
      <c r="E1204" s="3" t="str">
        <f>"2507014222"</f>
        <v>2507014222</v>
      </c>
      <c r="F1204" s="3" t="str">
        <f t="shared" si="121"/>
        <v>42</v>
      </c>
      <c r="G1204" s="4" t="str">
        <f>"22"</f>
        <v>22</v>
      </c>
      <c r="H1204" s="5">
        <v>50.2</v>
      </c>
      <c r="I1204" s="3"/>
    </row>
    <row r="1205" customHeight="1" spans="1:9">
      <c r="A1205" s="3" t="str">
        <f t="shared" si="120"/>
        <v>0105</v>
      </c>
      <c r="B1205" s="3" t="s">
        <v>19</v>
      </c>
      <c r="C1205" s="3" t="str">
        <f>"申俊铖"</f>
        <v>申俊铖</v>
      </c>
      <c r="D1205" s="3" t="str">
        <f>"男"</f>
        <v>男</v>
      </c>
      <c r="E1205" s="3" t="str">
        <f>"2507014223"</f>
        <v>2507014223</v>
      </c>
      <c r="F1205" s="3" t="str">
        <f t="shared" si="121"/>
        <v>42</v>
      </c>
      <c r="G1205" s="4" t="str">
        <f>"23"</f>
        <v>23</v>
      </c>
      <c r="H1205" s="5">
        <v>58</v>
      </c>
      <c r="I1205" s="3"/>
    </row>
    <row r="1206" customHeight="1" spans="1:9">
      <c r="A1206" s="3" t="str">
        <f t="shared" si="120"/>
        <v>0105</v>
      </c>
      <c r="B1206" s="3" t="s">
        <v>19</v>
      </c>
      <c r="C1206" s="3" t="str">
        <f>"陈梦伟"</f>
        <v>陈梦伟</v>
      </c>
      <c r="D1206" s="3" t="str">
        <f>"女"</f>
        <v>女</v>
      </c>
      <c r="E1206" s="3" t="str">
        <f>"2507014224"</f>
        <v>2507014224</v>
      </c>
      <c r="F1206" s="3" t="str">
        <f t="shared" si="121"/>
        <v>42</v>
      </c>
      <c r="G1206" s="4" t="str">
        <f>"24"</f>
        <v>24</v>
      </c>
      <c r="H1206" s="5">
        <v>43.2</v>
      </c>
      <c r="I1206" s="3"/>
    </row>
    <row r="1207" customHeight="1" spans="1:9">
      <c r="A1207" s="3" t="str">
        <f t="shared" si="120"/>
        <v>0105</v>
      </c>
      <c r="B1207" s="3" t="s">
        <v>19</v>
      </c>
      <c r="C1207" s="3" t="str">
        <f>"赵宇晨"</f>
        <v>赵宇晨</v>
      </c>
      <c r="D1207" s="3" t="str">
        <f>"女"</f>
        <v>女</v>
      </c>
      <c r="E1207" s="3" t="str">
        <f>"2507014225"</f>
        <v>2507014225</v>
      </c>
      <c r="F1207" s="3" t="str">
        <f t="shared" si="121"/>
        <v>42</v>
      </c>
      <c r="G1207" s="4" t="str">
        <f>"25"</f>
        <v>25</v>
      </c>
      <c r="H1207" s="5">
        <v>59.9</v>
      </c>
      <c r="I1207" s="3"/>
    </row>
    <row r="1208" customHeight="1" spans="1:9">
      <c r="A1208" s="3" t="str">
        <f t="shared" si="120"/>
        <v>0105</v>
      </c>
      <c r="B1208" s="3" t="s">
        <v>19</v>
      </c>
      <c r="C1208" s="3" t="str">
        <f>"王潇南"</f>
        <v>王潇南</v>
      </c>
      <c r="D1208" s="3" t="str">
        <f>"女"</f>
        <v>女</v>
      </c>
      <c r="E1208" s="3" t="str">
        <f>"2507014226"</f>
        <v>2507014226</v>
      </c>
      <c r="F1208" s="3" t="str">
        <f t="shared" si="121"/>
        <v>42</v>
      </c>
      <c r="G1208" s="4" t="str">
        <f>"26"</f>
        <v>26</v>
      </c>
      <c r="H1208" s="5">
        <v>0</v>
      </c>
      <c r="I1208" s="3" t="s">
        <v>11</v>
      </c>
    </row>
    <row r="1209" customHeight="1" spans="1:9">
      <c r="A1209" s="3" t="str">
        <f t="shared" si="120"/>
        <v>0105</v>
      </c>
      <c r="B1209" s="3" t="s">
        <v>19</v>
      </c>
      <c r="C1209" s="3" t="str">
        <f>"薛梦凡"</f>
        <v>薛梦凡</v>
      </c>
      <c r="D1209" s="3" t="str">
        <f>"女"</f>
        <v>女</v>
      </c>
      <c r="E1209" s="3" t="str">
        <f>"2507014227"</f>
        <v>2507014227</v>
      </c>
      <c r="F1209" s="3" t="str">
        <f t="shared" si="121"/>
        <v>42</v>
      </c>
      <c r="G1209" s="4" t="str">
        <f>"27"</f>
        <v>27</v>
      </c>
      <c r="H1209" s="5">
        <v>0</v>
      </c>
      <c r="I1209" s="3" t="s">
        <v>11</v>
      </c>
    </row>
    <row r="1210" customHeight="1" spans="1:9">
      <c r="A1210" s="3" t="str">
        <f t="shared" si="120"/>
        <v>0105</v>
      </c>
      <c r="B1210" s="3" t="s">
        <v>19</v>
      </c>
      <c r="C1210" s="3" t="str">
        <f>"刘新泽"</f>
        <v>刘新泽</v>
      </c>
      <c r="D1210" s="3" t="str">
        <f>"男"</f>
        <v>男</v>
      </c>
      <c r="E1210" s="3" t="str">
        <f>"2507014228"</f>
        <v>2507014228</v>
      </c>
      <c r="F1210" s="3" t="str">
        <f t="shared" si="121"/>
        <v>42</v>
      </c>
      <c r="G1210" s="4" t="str">
        <f>"28"</f>
        <v>28</v>
      </c>
      <c r="H1210" s="5">
        <v>0</v>
      </c>
      <c r="I1210" s="3" t="s">
        <v>11</v>
      </c>
    </row>
    <row r="1211" customHeight="1" spans="1:9">
      <c r="A1211" s="3" t="str">
        <f t="shared" si="120"/>
        <v>0105</v>
      </c>
      <c r="B1211" s="3" t="s">
        <v>19</v>
      </c>
      <c r="C1211" s="3" t="str">
        <f>"释演禅"</f>
        <v>释演禅</v>
      </c>
      <c r="D1211" s="3" t="str">
        <f>"女"</f>
        <v>女</v>
      </c>
      <c r="E1211" s="3" t="str">
        <f>"2507014229"</f>
        <v>2507014229</v>
      </c>
      <c r="F1211" s="3" t="str">
        <f t="shared" si="121"/>
        <v>42</v>
      </c>
      <c r="G1211" s="4" t="str">
        <f>"29"</f>
        <v>29</v>
      </c>
      <c r="H1211" s="5">
        <v>42.5</v>
      </c>
      <c r="I1211" s="3"/>
    </row>
    <row r="1212" customHeight="1" spans="1:9">
      <c r="A1212" s="3" t="str">
        <f t="shared" si="120"/>
        <v>0105</v>
      </c>
      <c r="B1212" s="3" t="s">
        <v>19</v>
      </c>
      <c r="C1212" s="3" t="str">
        <f>"张妍"</f>
        <v>张妍</v>
      </c>
      <c r="D1212" s="3" t="str">
        <f>"女"</f>
        <v>女</v>
      </c>
      <c r="E1212" s="3" t="str">
        <f>"2507014230"</f>
        <v>2507014230</v>
      </c>
      <c r="F1212" s="3" t="str">
        <f t="shared" si="121"/>
        <v>42</v>
      </c>
      <c r="G1212" s="4" t="str">
        <f>"30"</f>
        <v>30</v>
      </c>
      <c r="H1212" s="5">
        <v>0</v>
      </c>
      <c r="I1212" s="3" t="s">
        <v>11</v>
      </c>
    </row>
    <row r="1213" customHeight="1" spans="1:9">
      <c r="A1213" s="3" t="str">
        <f t="shared" si="120"/>
        <v>0105</v>
      </c>
      <c r="B1213" s="3" t="s">
        <v>19</v>
      </c>
      <c r="C1213" s="3" t="str">
        <f>"嵇宝耀"</f>
        <v>嵇宝耀</v>
      </c>
      <c r="D1213" s="3" t="str">
        <f>"男"</f>
        <v>男</v>
      </c>
      <c r="E1213" s="3" t="str">
        <f>"2507014301"</f>
        <v>2507014301</v>
      </c>
      <c r="F1213" s="3" t="str">
        <f t="shared" ref="F1213:F1242" si="123">"43"</f>
        <v>43</v>
      </c>
      <c r="G1213" s="4" t="str">
        <f>"01"</f>
        <v>01</v>
      </c>
      <c r="H1213" s="5">
        <v>0</v>
      </c>
      <c r="I1213" s="3" t="s">
        <v>11</v>
      </c>
    </row>
    <row r="1214" customHeight="1" spans="1:9">
      <c r="A1214" s="3" t="str">
        <f t="shared" si="120"/>
        <v>0105</v>
      </c>
      <c r="B1214" s="3" t="s">
        <v>19</v>
      </c>
      <c r="C1214" s="3" t="str">
        <f>"张峻豪"</f>
        <v>张峻豪</v>
      </c>
      <c r="D1214" s="3" t="str">
        <f>"男"</f>
        <v>男</v>
      </c>
      <c r="E1214" s="3" t="str">
        <f>"2507014302"</f>
        <v>2507014302</v>
      </c>
      <c r="F1214" s="3" t="str">
        <f t="shared" si="123"/>
        <v>43</v>
      </c>
      <c r="G1214" s="4" t="str">
        <f>"02"</f>
        <v>02</v>
      </c>
      <c r="H1214" s="5">
        <v>0</v>
      </c>
      <c r="I1214" s="3" t="s">
        <v>11</v>
      </c>
    </row>
    <row r="1215" customHeight="1" spans="1:9">
      <c r="A1215" s="3" t="str">
        <f t="shared" si="120"/>
        <v>0105</v>
      </c>
      <c r="B1215" s="3" t="s">
        <v>19</v>
      </c>
      <c r="C1215" s="3" t="str">
        <f>"曹靖如"</f>
        <v>曹靖如</v>
      </c>
      <c r="D1215" s="3" t="str">
        <f>"女"</f>
        <v>女</v>
      </c>
      <c r="E1215" s="3" t="str">
        <f>"2507014303"</f>
        <v>2507014303</v>
      </c>
      <c r="F1215" s="3" t="str">
        <f t="shared" si="123"/>
        <v>43</v>
      </c>
      <c r="G1215" s="4" t="str">
        <f>"03"</f>
        <v>03</v>
      </c>
      <c r="H1215" s="5">
        <v>60.7</v>
      </c>
      <c r="I1215" s="3"/>
    </row>
    <row r="1216" customHeight="1" spans="1:9">
      <c r="A1216" s="3" t="str">
        <f t="shared" si="120"/>
        <v>0105</v>
      </c>
      <c r="B1216" s="3" t="s">
        <v>19</v>
      </c>
      <c r="C1216" s="3" t="str">
        <f>"丁子航"</f>
        <v>丁子航</v>
      </c>
      <c r="D1216" s="3" t="str">
        <f>"男"</f>
        <v>男</v>
      </c>
      <c r="E1216" s="3" t="str">
        <f>"2507014304"</f>
        <v>2507014304</v>
      </c>
      <c r="F1216" s="3" t="str">
        <f t="shared" si="123"/>
        <v>43</v>
      </c>
      <c r="G1216" s="4" t="str">
        <f>"04"</f>
        <v>04</v>
      </c>
      <c r="H1216" s="5">
        <v>57.3</v>
      </c>
      <c r="I1216" s="3"/>
    </row>
    <row r="1217" customHeight="1" spans="1:9">
      <c r="A1217" s="3" t="str">
        <f t="shared" si="120"/>
        <v>0105</v>
      </c>
      <c r="B1217" s="3" t="s">
        <v>19</v>
      </c>
      <c r="C1217" s="3" t="str">
        <f>"徐琼琼"</f>
        <v>徐琼琼</v>
      </c>
      <c r="D1217" s="3" t="str">
        <f>"女"</f>
        <v>女</v>
      </c>
      <c r="E1217" s="3" t="str">
        <f>"2507014305"</f>
        <v>2507014305</v>
      </c>
      <c r="F1217" s="3" t="str">
        <f t="shared" si="123"/>
        <v>43</v>
      </c>
      <c r="G1217" s="4" t="str">
        <f>"05"</f>
        <v>05</v>
      </c>
      <c r="H1217" s="5">
        <v>58.1</v>
      </c>
      <c r="I1217" s="3"/>
    </row>
    <row r="1218" customHeight="1" spans="1:9">
      <c r="A1218" s="3" t="str">
        <f t="shared" si="120"/>
        <v>0105</v>
      </c>
      <c r="B1218" s="3" t="s">
        <v>19</v>
      </c>
      <c r="C1218" s="3" t="str">
        <f>"卜忻然"</f>
        <v>卜忻然</v>
      </c>
      <c r="D1218" s="3" t="str">
        <f>"女"</f>
        <v>女</v>
      </c>
      <c r="E1218" s="3" t="str">
        <f>"2507014306"</f>
        <v>2507014306</v>
      </c>
      <c r="F1218" s="3" t="str">
        <f t="shared" si="123"/>
        <v>43</v>
      </c>
      <c r="G1218" s="4" t="str">
        <f>"06"</f>
        <v>06</v>
      </c>
      <c r="H1218" s="5">
        <v>0</v>
      </c>
      <c r="I1218" s="3" t="s">
        <v>11</v>
      </c>
    </row>
    <row r="1219" customHeight="1" spans="1:9">
      <c r="A1219" s="3" t="str">
        <f t="shared" si="120"/>
        <v>0105</v>
      </c>
      <c r="B1219" s="3" t="s">
        <v>19</v>
      </c>
      <c r="C1219" s="3" t="str">
        <f>"李思勇"</f>
        <v>李思勇</v>
      </c>
      <c r="D1219" s="3" t="str">
        <f>"男"</f>
        <v>男</v>
      </c>
      <c r="E1219" s="3" t="str">
        <f>"2507014307"</f>
        <v>2507014307</v>
      </c>
      <c r="F1219" s="3" t="str">
        <f t="shared" si="123"/>
        <v>43</v>
      </c>
      <c r="G1219" s="4" t="str">
        <f>"07"</f>
        <v>07</v>
      </c>
      <c r="H1219" s="5">
        <v>70.2</v>
      </c>
      <c r="I1219" s="3"/>
    </row>
    <row r="1220" customHeight="1" spans="1:9">
      <c r="A1220" s="3" t="str">
        <f t="shared" si="120"/>
        <v>0105</v>
      </c>
      <c r="B1220" s="3" t="s">
        <v>19</v>
      </c>
      <c r="C1220" s="3" t="str">
        <f>"赵晓晓"</f>
        <v>赵晓晓</v>
      </c>
      <c r="D1220" s="3" t="str">
        <f>"女"</f>
        <v>女</v>
      </c>
      <c r="E1220" s="3" t="str">
        <f>"2507014308"</f>
        <v>2507014308</v>
      </c>
      <c r="F1220" s="3" t="str">
        <f t="shared" si="123"/>
        <v>43</v>
      </c>
      <c r="G1220" s="4" t="str">
        <f>"08"</f>
        <v>08</v>
      </c>
      <c r="H1220" s="5">
        <v>73.9</v>
      </c>
      <c r="I1220" s="3"/>
    </row>
    <row r="1221" customHeight="1" spans="1:9">
      <c r="A1221" s="3" t="str">
        <f t="shared" si="120"/>
        <v>0105</v>
      </c>
      <c r="B1221" s="3" t="s">
        <v>19</v>
      </c>
      <c r="C1221" s="3" t="str">
        <f>"王静"</f>
        <v>王静</v>
      </c>
      <c r="D1221" s="3" t="str">
        <f>"女"</f>
        <v>女</v>
      </c>
      <c r="E1221" s="3" t="str">
        <f>"2507014309"</f>
        <v>2507014309</v>
      </c>
      <c r="F1221" s="3" t="str">
        <f t="shared" si="123"/>
        <v>43</v>
      </c>
      <c r="G1221" s="4" t="str">
        <f>"09"</f>
        <v>09</v>
      </c>
      <c r="H1221" s="5">
        <v>0</v>
      </c>
      <c r="I1221" s="3" t="s">
        <v>11</v>
      </c>
    </row>
    <row r="1222" customHeight="1" spans="1:9">
      <c r="A1222" s="3" t="str">
        <f t="shared" si="120"/>
        <v>0105</v>
      </c>
      <c r="B1222" s="3" t="s">
        <v>19</v>
      </c>
      <c r="C1222" s="3" t="str">
        <f>"王凯"</f>
        <v>王凯</v>
      </c>
      <c r="D1222" s="3" t="str">
        <f>"男"</f>
        <v>男</v>
      </c>
      <c r="E1222" s="3" t="str">
        <f>"2507014310"</f>
        <v>2507014310</v>
      </c>
      <c r="F1222" s="3" t="str">
        <f t="shared" si="123"/>
        <v>43</v>
      </c>
      <c r="G1222" s="4" t="str">
        <f>"10"</f>
        <v>10</v>
      </c>
      <c r="H1222" s="5">
        <v>48.2</v>
      </c>
      <c r="I1222" s="3"/>
    </row>
    <row r="1223" customHeight="1" spans="1:9">
      <c r="A1223" s="3" t="str">
        <f t="shared" si="120"/>
        <v>0105</v>
      </c>
      <c r="B1223" s="3" t="s">
        <v>19</v>
      </c>
      <c r="C1223" s="3" t="str">
        <f>"姜轶宸"</f>
        <v>姜轶宸</v>
      </c>
      <c r="D1223" s="3" t="str">
        <f>"女"</f>
        <v>女</v>
      </c>
      <c r="E1223" s="3" t="str">
        <f>"2507014311"</f>
        <v>2507014311</v>
      </c>
      <c r="F1223" s="3" t="str">
        <f t="shared" si="123"/>
        <v>43</v>
      </c>
      <c r="G1223" s="4" t="str">
        <f>"11"</f>
        <v>11</v>
      </c>
      <c r="H1223" s="5">
        <v>52.5</v>
      </c>
      <c r="I1223" s="3"/>
    </row>
    <row r="1224" customHeight="1" spans="1:9">
      <c r="A1224" s="3" t="str">
        <f t="shared" si="120"/>
        <v>0105</v>
      </c>
      <c r="B1224" s="3" t="s">
        <v>19</v>
      </c>
      <c r="C1224" s="3" t="str">
        <f>"李雨阳"</f>
        <v>李雨阳</v>
      </c>
      <c r="D1224" s="3" t="str">
        <f>"女"</f>
        <v>女</v>
      </c>
      <c r="E1224" s="3" t="str">
        <f>"2507014312"</f>
        <v>2507014312</v>
      </c>
      <c r="F1224" s="3" t="str">
        <f t="shared" si="123"/>
        <v>43</v>
      </c>
      <c r="G1224" s="4" t="str">
        <f>"12"</f>
        <v>12</v>
      </c>
      <c r="H1224" s="5">
        <v>53.4</v>
      </c>
      <c r="I1224" s="3"/>
    </row>
    <row r="1225" customHeight="1" spans="1:9">
      <c r="A1225" s="3" t="str">
        <f t="shared" ref="A1225:A1288" si="124">"0105"</f>
        <v>0105</v>
      </c>
      <c r="B1225" s="3" t="s">
        <v>19</v>
      </c>
      <c r="C1225" s="3" t="str">
        <f>"郑亚轩"</f>
        <v>郑亚轩</v>
      </c>
      <c r="D1225" s="3" t="str">
        <f>"女"</f>
        <v>女</v>
      </c>
      <c r="E1225" s="3" t="str">
        <f>"2507014313"</f>
        <v>2507014313</v>
      </c>
      <c r="F1225" s="3" t="str">
        <f t="shared" si="123"/>
        <v>43</v>
      </c>
      <c r="G1225" s="4" t="str">
        <f>"13"</f>
        <v>13</v>
      </c>
      <c r="H1225" s="5">
        <v>0</v>
      </c>
      <c r="I1225" s="3" t="s">
        <v>11</v>
      </c>
    </row>
    <row r="1226" customHeight="1" spans="1:9">
      <c r="A1226" s="3" t="str">
        <f t="shared" si="124"/>
        <v>0105</v>
      </c>
      <c r="B1226" s="3" t="s">
        <v>19</v>
      </c>
      <c r="C1226" s="3" t="str">
        <f>"于乾飞"</f>
        <v>于乾飞</v>
      </c>
      <c r="D1226" s="3" t="str">
        <f>"男"</f>
        <v>男</v>
      </c>
      <c r="E1226" s="3" t="str">
        <f>"2507014314"</f>
        <v>2507014314</v>
      </c>
      <c r="F1226" s="3" t="str">
        <f t="shared" si="123"/>
        <v>43</v>
      </c>
      <c r="G1226" s="4" t="str">
        <f>"14"</f>
        <v>14</v>
      </c>
      <c r="H1226" s="5">
        <v>44</v>
      </c>
      <c r="I1226" s="3"/>
    </row>
    <row r="1227" customHeight="1" spans="1:9">
      <c r="A1227" s="3" t="str">
        <f t="shared" si="124"/>
        <v>0105</v>
      </c>
      <c r="B1227" s="3" t="s">
        <v>19</v>
      </c>
      <c r="C1227" s="3" t="str">
        <f>"刘颜魁"</f>
        <v>刘颜魁</v>
      </c>
      <c r="D1227" s="3" t="str">
        <f>"男"</f>
        <v>男</v>
      </c>
      <c r="E1227" s="3" t="str">
        <f>"2507014315"</f>
        <v>2507014315</v>
      </c>
      <c r="F1227" s="3" t="str">
        <f t="shared" si="123"/>
        <v>43</v>
      </c>
      <c r="G1227" s="4" t="str">
        <f>"15"</f>
        <v>15</v>
      </c>
      <c r="H1227" s="5">
        <v>57.4</v>
      </c>
      <c r="I1227" s="3"/>
    </row>
    <row r="1228" customHeight="1" spans="1:9">
      <c r="A1228" s="3" t="str">
        <f t="shared" si="124"/>
        <v>0105</v>
      </c>
      <c r="B1228" s="3" t="s">
        <v>19</v>
      </c>
      <c r="C1228" s="3" t="str">
        <f>"陈梓昂"</f>
        <v>陈梓昂</v>
      </c>
      <c r="D1228" s="3" t="str">
        <f t="shared" ref="D1228:D1233" si="125">"女"</f>
        <v>女</v>
      </c>
      <c r="E1228" s="3" t="str">
        <f>"2507014316"</f>
        <v>2507014316</v>
      </c>
      <c r="F1228" s="3" t="str">
        <f t="shared" si="123"/>
        <v>43</v>
      </c>
      <c r="G1228" s="4" t="str">
        <f>"16"</f>
        <v>16</v>
      </c>
      <c r="H1228" s="5">
        <v>57.8</v>
      </c>
      <c r="I1228" s="3"/>
    </row>
    <row r="1229" customHeight="1" spans="1:9">
      <c r="A1229" s="3" t="str">
        <f t="shared" si="124"/>
        <v>0105</v>
      </c>
      <c r="B1229" s="3" t="s">
        <v>19</v>
      </c>
      <c r="C1229" s="3" t="str">
        <f>"张景景"</f>
        <v>张景景</v>
      </c>
      <c r="D1229" s="3" t="str">
        <f t="shared" si="125"/>
        <v>女</v>
      </c>
      <c r="E1229" s="3" t="str">
        <f>"2507014317"</f>
        <v>2507014317</v>
      </c>
      <c r="F1229" s="3" t="str">
        <f t="shared" si="123"/>
        <v>43</v>
      </c>
      <c r="G1229" s="4" t="str">
        <f>"17"</f>
        <v>17</v>
      </c>
      <c r="H1229" s="5">
        <v>0</v>
      </c>
      <c r="I1229" s="3" t="s">
        <v>11</v>
      </c>
    </row>
    <row r="1230" customHeight="1" spans="1:9">
      <c r="A1230" s="3" t="str">
        <f t="shared" si="124"/>
        <v>0105</v>
      </c>
      <c r="B1230" s="3" t="s">
        <v>19</v>
      </c>
      <c r="C1230" s="3" t="str">
        <f>"马文雅"</f>
        <v>马文雅</v>
      </c>
      <c r="D1230" s="3" t="str">
        <f t="shared" si="125"/>
        <v>女</v>
      </c>
      <c r="E1230" s="3" t="str">
        <f>"2507014318"</f>
        <v>2507014318</v>
      </c>
      <c r="F1230" s="3" t="str">
        <f t="shared" si="123"/>
        <v>43</v>
      </c>
      <c r="G1230" s="4" t="str">
        <f>"18"</f>
        <v>18</v>
      </c>
      <c r="H1230" s="5">
        <v>72.2</v>
      </c>
      <c r="I1230" s="3"/>
    </row>
    <row r="1231" customHeight="1" spans="1:9">
      <c r="A1231" s="3" t="str">
        <f t="shared" si="124"/>
        <v>0105</v>
      </c>
      <c r="B1231" s="3" t="s">
        <v>19</v>
      </c>
      <c r="C1231" s="3" t="str">
        <f>"王梦嫄"</f>
        <v>王梦嫄</v>
      </c>
      <c r="D1231" s="3" t="str">
        <f t="shared" si="125"/>
        <v>女</v>
      </c>
      <c r="E1231" s="3" t="str">
        <f>"2507014319"</f>
        <v>2507014319</v>
      </c>
      <c r="F1231" s="3" t="str">
        <f t="shared" si="123"/>
        <v>43</v>
      </c>
      <c r="G1231" s="4" t="str">
        <f>"19"</f>
        <v>19</v>
      </c>
      <c r="H1231" s="5">
        <v>54.6</v>
      </c>
      <c r="I1231" s="3"/>
    </row>
    <row r="1232" customHeight="1" spans="1:9">
      <c r="A1232" s="3" t="str">
        <f t="shared" si="124"/>
        <v>0105</v>
      </c>
      <c r="B1232" s="3" t="s">
        <v>19</v>
      </c>
      <c r="C1232" s="3" t="str">
        <f>"张栩旋"</f>
        <v>张栩旋</v>
      </c>
      <c r="D1232" s="3" t="str">
        <f t="shared" si="125"/>
        <v>女</v>
      </c>
      <c r="E1232" s="3" t="str">
        <f>"2507014320"</f>
        <v>2507014320</v>
      </c>
      <c r="F1232" s="3" t="str">
        <f t="shared" si="123"/>
        <v>43</v>
      </c>
      <c r="G1232" s="4" t="str">
        <f>"20"</f>
        <v>20</v>
      </c>
      <c r="H1232" s="5">
        <v>49.6</v>
      </c>
      <c r="I1232" s="3"/>
    </row>
    <row r="1233" customHeight="1" spans="1:9">
      <c r="A1233" s="3" t="str">
        <f t="shared" si="124"/>
        <v>0105</v>
      </c>
      <c r="B1233" s="3" t="s">
        <v>19</v>
      </c>
      <c r="C1233" s="3" t="str">
        <f>"韩心怡"</f>
        <v>韩心怡</v>
      </c>
      <c r="D1233" s="3" t="str">
        <f t="shared" si="125"/>
        <v>女</v>
      </c>
      <c r="E1233" s="3" t="str">
        <f>"2507014321"</f>
        <v>2507014321</v>
      </c>
      <c r="F1233" s="3" t="str">
        <f t="shared" si="123"/>
        <v>43</v>
      </c>
      <c r="G1233" s="4" t="str">
        <f>"21"</f>
        <v>21</v>
      </c>
      <c r="H1233" s="5">
        <v>0</v>
      </c>
      <c r="I1233" s="3" t="s">
        <v>11</v>
      </c>
    </row>
    <row r="1234" customHeight="1" spans="1:9">
      <c r="A1234" s="3" t="str">
        <f t="shared" si="124"/>
        <v>0105</v>
      </c>
      <c r="B1234" s="3" t="s">
        <v>19</v>
      </c>
      <c r="C1234" s="3" t="str">
        <f>"段淇耀"</f>
        <v>段淇耀</v>
      </c>
      <c r="D1234" s="3" t="str">
        <f>"男"</f>
        <v>男</v>
      </c>
      <c r="E1234" s="3" t="str">
        <f>"2507014322"</f>
        <v>2507014322</v>
      </c>
      <c r="F1234" s="3" t="str">
        <f t="shared" si="123"/>
        <v>43</v>
      </c>
      <c r="G1234" s="4" t="str">
        <f>"22"</f>
        <v>22</v>
      </c>
      <c r="H1234" s="5">
        <v>0</v>
      </c>
      <c r="I1234" s="3" t="s">
        <v>11</v>
      </c>
    </row>
    <row r="1235" customHeight="1" spans="1:9">
      <c r="A1235" s="3" t="str">
        <f t="shared" si="124"/>
        <v>0105</v>
      </c>
      <c r="B1235" s="3" t="s">
        <v>19</v>
      </c>
      <c r="C1235" s="3" t="str">
        <f>"赵小钗"</f>
        <v>赵小钗</v>
      </c>
      <c r="D1235" s="3" t="str">
        <f>"女"</f>
        <v>女</v>
      </c>
      <c r="E1235" s="3" t="str">
        <f>"2507014323"</f>
        <v>2507014323</v>
      </c>
      <c r="F1235" s="3" t="str">
        <f t="shared" si="123"/>
        <v>43</v>
      </c>
      <c r="G1235" s="4" t="str">
        <f>"23"</f>
        <v>23</v>
      </c>
      <c r="H1235" s="5">
        <v>62.3</v>
      </c>
      <c r="I1235" s="3"/>
    </row>
    <row r="1236" customHeight="1" spans="1:9">
      <c r="A1236" s="3" t="str">
        <f t="shared" si="124"/>
        <v>0105</v>
      </c>
      <c r="B1236" s="3" t="s">
        <v>19</v>
      </c>
      <c r="C1236" s="3" t="str">
        <f>"闵新"</f>
        <v>闵新</v>
      </c>
      <c r="D1236" s="3" t="str">
        <f>"女"</f>
        <v>女</v>
      </c>
      <c r="E1236" s="3" t="str">
        <f>"2507014324"</f>
        <v>2507014324</v>
      </c>
      <c r="F1236" s="3" t="str">
        <f t="shared" si="123"/>
        <v>43</v>
      </c>
      <c r="G1236" s="4" t="str">
        <f>"24"</f>
        <v>24</v>
      </c>
      <c r="H1236" s="5">
        <v>0</v>
      </c>
      <c r="I1236" s="3" t="s">
        <v>11</v>
      </c>
    </row>
    <row r="1237" customHeight="1" spans="1:9">
      <c r="A1237" s="3" t="str">
        <f t="shared" si="124"/>
        <v>0105</v>
      </c>
      <c r="B1237" s="3" t="s">
        <v>19</v>
      </c>
      <c r="C1237" s="3" t="str">
        <f>"于腾"</f>
        <v>于腾</v>
      </c>
      <c r="D1237" s="3" t="str">
        <f>"男"</f>
        <v>男</v>
      </c>
      <c r="E1237" s="3" t="str">
        <f>"2507014325"</f>
        <v>2507014325</v>
      </c>
      <c r="F1237" s="3" t="str">
        <f t="shared" si="123"/>
        <v>43</v>
      </c>
      <c r="G1237" s="4" t="str">
        <f>"25"</f>
        <v>25</v>
      </c>
      <c r="H1237" s="5">
        <v>49.2</v>
      </c>
      <c r="I1237" s="3"/>
    </row>
    <row r="1238" customHeight="1" spans="1:9">
      <c r="A1238" s="3" t="str">
        <f t="shared" si="124"/>
        <v>0105</v>
      </c>
      <c r="B1238" s="3" t="s">
        <v>19</v>
      </c>
      <c r="C1238" s="3" t="str">
        <f>"孙腾飞"</f>
        <v>孙腾飞</v>
      </c>
      <c r="D1238" s="3" t="str">
        <f>"男"</f>
        <v>男</v>
      </c>
      <c r="E1238" s="3" t="str">
        <f>"2507014326"</f>
        <v>2507014326</v>
      </c>
      <c r="F1238" s="3" t="str">
        <f t="shared" si="123"/>
        <v>43</v>
      </c>
      <c r="G1238" s="4" t="str">
        <f>"26"</f>
        <v>26</v>
      </c>
      <c r="H1238" s="5">
        <v>0</v>
      </c>
      <c r="I1238" s="3" t="s">
        <v>11</v>
      </c>
    </row>
    <row r="1239" customHeight="1" spans="1:9">
      <c r="A1239" s="3" t="str">
        <f t="shared" si="124"/>
        <v>0105</v>
      </c>
      <c r="B1239" s="3" t="s">
        <v>19</v>
      </c>
      <c r="C1239" s="3" t="str">
        <f>"赵静"</f>
        <v>赵静</v>
      </c>
      <c r="D1239" s="3" t="str">
        <f>"女"</f>
        <v>女</v>
      </c>
      <c r="E1239" s="3" t="str">
        <f>"2507014327"</f>
        <v>2507014327</v>
      </c>
      <c r="F1239" s="3" t="str">
        <f t="shared" si="123"/>
        <v>43</v>
      </c>
      <c r="G1239" s="4" t="str">
        <f>"27"</f>
        <v>27</v>
      </c>
      <c r="H1239" s="5">
        <v>38.9</v>
      </c>
      <c r="I1239" s="3"/>
    </row>
    <row r="1240" customHeight="1" spans="1:9">
      <c r="A1240" s="3" t="str">
        <f t="shared" si="124"/>
        <v>0105</v>
      </c>
      <c r="B1240" s="3" t="s">
        <v>19</v>
      </c>
      <c r="C1240" s="3" t="str">
        <f>"张先印"</f>
        <v>张先印</v>
      </c>
      <c r="D1240" s="3" t="str">
        <f>"男"</f>
        <v>男</v>
      </c>
      <c r="E1240" s="3" t="str">
        <f>"2507014328"</f>
        <v>2507014328</v>
      </c>
      <c r="F1240" s="3" t="str">
        <f t="shared" si="123"/>
        <v>43</v>
      </c>
      <c r="G1240" s="4" t="str">
        <f>"28"</f>
        <v>28</v>
      </c>
      <c r="H1240" s="5">
        <v>64.4</v>
      </c>
      <c r="I1240" s="3"/>
    </row>
    <row r="1241" customHeight="1" spans="1:9">
      <c r="A1241" s="3" t="str">
        <f t="shared" si="124"/>
        <v>0105</v>
      </c>
      <c r="B1241" s="3" t="s">
        <v>19</v>
      </c>
      <c r="C1241" s="3" t="str">
        <f>"李泠漾"</f>
        <v>李泠漾</v>
      </c>
      <c r="D1241" s="3" t="str">
        <f t="shared" ref="D1241:D1249" si="126">"女"</f>
        <v>女</v>
      </c>
      <c r="E1241" s="3" t="str">
        <f>"2507014329"</f>
        <v>2507014329</v>
      </c>
      <c r="F1241" s="3" t="str">
        <f t="shared" si="123"/>
        <v>43</v>
      </c>
      <c r="G1241" s="4" t="str">
        <f>"29"</f>
        <v>29</v>
      </c>
      <c r="H1241" s="5">
        <v>68.5</v>
      </c>
      <c r="I1241" s="3"/>
    </row>
    <row r="1242" customHeight="1" spans="1:9">
      <c r="A1242" s="3" t="str">
        <f t="shared" si="124"/>
        <v>0105</v>
      </c>
      <c r="B1242" s="3" t="s">
        <v>19</v>
      </c>
      <c r="C1242" s="3" t="str">
        <f>"贺滕其格"</f>
        <v>贺滕其格</v>
      </c>
      <c r="D1242" s="3" t="str">
        <f t="shared" si="126"/>
        <v>女</v>
      </c>
      <c r="E1242" s="3" t="str">
        <f>"2507014330"</f>
        <v>2507014330</v>
      </c>
      <c r="F1242" s="3" t="str">
        <f t="shared" si="123"/>
        <v>43</v>
      </c>
      <c r="G1242" s="4" t="str">
        <f>"30"</f>
        <v>30</v>
      </c>
      <c r="H1242" s="5">
        <v>56.2</v>
      </c>
      <c r="I1242" s="3"/>
    </row>
    <row r="1243" customHeight="1" spans="1:9">
      <c r="A1243" s="3" t="str">
        <f t="shared" si="124"/>
        <v>0105</v>
      </c>
      <c r="B1243" s="3" t="s">
        <v>19</v>
      </c>
      <c r="C1243" s="3" t="str">
        <f>"魏新如"</f>
        <v>魏新如</v>
      </c>
      <c r="D1243" s="3" t="str">
        <f t="shared" si="126"/>
        <v>女</v>
      </c>
      <c r="E1243" s="3" t="str">
        <f>"2507014401"</f>
        <v>2507014401</v>
      </c>
      <c r="F1243" s="3" t="str">
        <f t="shared" ref="F1243:F1273" si="127">"44"</f>
        <v>44</v>
      </c>
      <c r="G1243" s="4" t="str">
        <f>"01"</f>
        <v>01</v>
      </c>
      <c r="H1243" s="5">
        <v>63.2</v>
      </c>
      <c r="I1243" s="3"/>
    </row>
    <row r="1244" customHeight="1" spans="1:9">
      <c r="A1244" s="3" t="str">
        <f t="shared" si="124"/>
        <v>0105</v>
      </c>
      <c r="B1244" s="3" t="s">
        <v>19</v>
      </c>
      <c r="C1244" s="3" t="str">
        <f>"吕珂"</f>
        <v>吕珂</v>
      </c>
      <c r="D1244" s="3" t="str">
        <f t="shared" si="126"/>
        <v>女</v>
      </c>
      <c r="E1244" s="3" t="str">
        <f>"2507014402"</f>
        <v>2507014402</v>
      </c>
      <c r="F1244" s="3" t="str">
        <f t="shared" si="127"/>
        <v>44</v>
      </c>
      <c r="G1244" s="4" t="str">
        <f>"02"</f>
        <v>02</v>
      </c>
      <c r="H1244" s="5">
        <v>55.6</v>
      </c>
      <c r="I1244" s="3"/>
    </row>
    <row r="1245" customHeight="1" spans="1:9">
      <c r="A1245" s="3" t="str">
        <f t="shared" si="124"/>
        <v>0105</v>
      </c>
      <c r="B1245" s="3" t="s">
        <v>19</v>
      </c>
      <c r="C1245" s="3" t="str">
        <f>"汤苏嫄"</f>
        <v>汤苏嫄</v>
      </c>
      <c r="D1245" s="3" t="str">
        <f t="shared" si="126"/>
        <v>女</v>
      </c>
      <c r="E1245" s="3" t="str">
        <f>"2507014403"</f>
        <v>2507014403</v>
      </c>
      <c r="F1245" s="3" t="str">
        <f t="shared" si="127"/>
        <v>44</v>
      </c>
      <c r="G1245" s="4" t="str">
        <f>"03"</f>
        <v>03</v>
      </c>
      <c r="H1245" s="5">
        <v>62.4</v>
      </c>
      <c r="I1245" s="3"/>
    </row>
    <row r="1246" customHeight="1" spans="1:9">
      <c r="A1246" s="3" t="str">
        <f t="shared" si="124"/>
        <v>0105</v>
      </c>
      <c r="B1246" s="3" t="s">
        <v>19</v>
      </c>
      <c r="C1246" s="3" t="str">
        <f>"钱奕颖"</f>
        <v>钱奕颖</v>
      </c>
      <c r="D1246" s="3" t="str">
        <f t="shared" si="126"/>
        <v>女</v>
      </c>
      <c r="E1246" s="3" t="str">
        <f>"2507014404"</f>
        <v>2507014404</v>
      </c>
      <c r="F1246" s="3" t="str">
        <f t="shared" si="127"/>
        <v>44</v>
      </c>
      <c r="G1246" s="4" t="str">
        <f>"04"</f>
        <v>04</v>
      </c>
      <c r="H1246" s="5">
        <v>50.6</v>
      </c>
      <c r="I1246" s="3"/>
    </row>
    <row r="1247" customHeight="1" spans="1:9">
      <c r="A1247" s="3" t="str">
        <f t="shared" si="124"/>
        <v>0105</v>
      </c>
      <c r="B1247" s="3" t="s">
        <v>19</v>
      </c>
      <c r="C1247" s="3" t="str">
        <f>"高宇昕"</f>
        <v>高宇昕</v>
      </c>
      <c r="D1247" s="3" t="str">
        <f t="shared" si="126"/>
        <v>女</v>
      </c>
      <c r="E1247" s="3" t="str">
        <f>"2507014405"</f>
        <v>2507014405</v>
      </c>
      <c r="F1247" s="3" t="str">
        <f t="shared" si="127"/>
        <v>44</v>
      </c>
      <c r="G1247" s="4" t="str">
        <f>"05"</f>
        <v>05</v>
      </c>
      <c r="H1247" s="5">
        <v>51.3</v>
      </c>
      <c r="I1247" s="3"/>
    </row>
    <row r="1248" customHeight="1" spans="1:9">
      <c r="A1248" s="3" t="str">
        <f t="shared" si="124"/>
        <v>0105</v>
      </c>
      <c r="B1248" s="3" t="s">
        <v>19</v>
      </c>
      <c r="C1248" s="3" t="str">
        <f>"符艺萍"</f>
        <v>符艺萍</v>
      </c>
      <c r="D1248" s="3" t="str">
        <f t="shared" si="126"/>
        <v>女</v>
      </c>
      <c r="E1248" s="3" t="str">
        <f>"2507014406"</f>
        <v>2507014406</v>
      </c>
      <c r="F1248" s="3" t="str">
        <f t="shared" si="127"/>
        <v>44</v>
      </c>
      <c r="G1248" s="4" t="str">
        <f>"06"</f>
        <v>06</v>
      </c>
      <c r="H1248" s="5">
        <v>61.5</v>
      </c>
      <c r="I1248" s="3"/>
    </row>
    <row r="1249" customHeight="1" spans="1:9">
      <c r="A1249" s="3" t="str">
        <f t="shared" si="124"/>
        <v>0105</v>
      </c>
      <c r="B1249" s="3" t="s">
        <v>19</v>
      </c>
      <c r="C1249" s="3" t="str">
        <f>"孙亚雯"</f>
        <v>孙亚雯</v>
      </c>
      <c r="D1249" s="3" t="str">
        <f t="shared" si="126"/>
        <v>女</v>
      </c>
      <c r="E1249" s="3" t="str">
        <f>"2507014407"</f>
        <v>2507014407</v>
      </c>
      <c r="F1249" s="3" t="str">
        <f t="shared" si="127"/>
        <v>44</v>
      </c>
      <c r="G1249" s="4" t="str">
        <f>"07"</f>
        <v>07</v>
      </c>
      <c r="H1249" s="5">
        <v>61.2</v>
      </c>
      <c r="I1249" s="3"/>
    </row>
    <row r="1250" customHeight="1" spans="1:9">
      <c r="A1250" s="3" t="str">
        <f t="shared" si="124"/>
        <v>0105</v>
      </c>
      <c r="B1250" s="3" t="s">
        <v>19</v>
      </c>
      <c r="C1250" s="3" t="str">
        <f>"罗浩瑞"</f>
        <v>罗浩瑞</v>
      </c>
      <c r="D1250" s="3" t="str">
        <f>"男"</f>
        <v>男</v>
      </c>
      <c r="E1250" s="3" t="str">
        <f>"2507014408"</f>
        <v>2507014408</v>
      </c>
      <c r="F1250" s="3" t="str">
        <f t="shared" si="127"/>
        <v>44</v>
      </c>
      <c r="G1250" s="4" t="str">
        <f>"08"</f>
        <v>08</v>
      </c>
      <c r="H1250" s="5">
        <v>0</v>
      </c>
      <c r="I1250" s="3" t="s">
        <v>11</v>
      </c>
    </row>
    <row r="1251" customHeight="1" spans="1:9">
      <c r="A1251" s="3" t="str">
        <f t="shared" si="124"/>
        <v>0105</v>
      </c>
      <c r="B1251" s="3" t="s">
        <v>19</v>
      </c>
      <c r="C1251" s="3" t="str">
        <f>"张为松"</f>
        <v>张为松</v>
      </c>
      <c r="D1251" s="3" t="str">
        <f>"男"</f>
        <v>男</v>
      </c>
      <c r="E1251" s="3" t="str">
        <f>"2507014409"</f>
        <v>2507014409</v>
      </c>
      <c r="F1251" s="3" t="str">
        <f t="shared" si="127"/>
        <v>44</v>
      </c>
      <c r="G1251" s="4" t="str">
        <f>"09"</f>
        <v>09</v>
      </c>
      <c r="H1251" s="5">
        <v>0</v>
      </c>
      <c r="I1251" s="3" t="s">
        <v>11</v>
      </c>
    </row>
    <row r="1252" customHeight="1" spans="1:9">
      <c r="A1252" s="3" t="str">
        <f t="shared" si="124"/>
        <v>0105</v>
      </c>
      <c r="B1252" s="3" t="s">
        <v>19</v>
      </c>
      <c r="C1252" s="3" t="str">
        <f>"张雨诺"</f>
        <v>张雨诺</v>
      </c>
      <c r="D1252" s="3" t="str">
        <f>"女"</f>
        <v>女</v>
      </c>
      <c r="E1252" s="3" t="str">
        <f>"2507014410"</f>
        <v>2507014410</v>
      </c>
      <c r="F1252" s="3" t="str">
        <f t="shared" si="127"/>
        <v>44</v>
      </c>
      <c r="G1252" s="4" t="str">
        <f>"10"</f>
        <v>10</v>
      </c>
      <c r="H1252" s="5">
        <v>61.2</v>
      </c>
      <c r="I1252" s="3"/>
    </row>
    <row r="1253" customHeight="1" spans="1:9">
      <c r="A1253" s="3" t="str">
        <f t="shared" si="124"/>
        <v>0105</v>
      </c>
      <c r="B1253" s="3" t="s">
        <v>19</v>
      </c>
      <c r="C1253" s="3" t="str">
        <f>"梁博闻"</f>
        <v>梁博闻</v>
      </c>
      <c r="D1253" s="3" t="str">
        <f>"女"</f>
        <v>女</v>
      </c>
      <c r="E1253" s="3" t="str">
        <f>"2507014411"</f>
        <v>2507014411</v>
      </c>
      <c r="F1253" s="3" t="str">
        <f t="shared" si="127"/>
        <v>44</v>
      </c>
      <c r="G1253" s="4" t="str">
        <f>"11"</f>
        <v>11</v>
      </c>
      <c r="H1253" s="5">
        <v>46.9</v>
      </c>
      <c r="I1253" s="3"/>
    </row>
    <row r="1254" customHeight="1" spans="1:9">
      <c r="A1254" s="3" t="str">
        <f t="shared" si="124"/>
        <v>0105</v>
      </c>
      <c r="B1254" s="3" t="s">
        <v>19</v>
      </c>
      <c r="C1254" s="3" t="str">
        <f>"邵博"</f>
        <v>邵博</v>
      </c>
      <c r="D1254" s="3" t="str">
        <f>"男"</f>
        <v>男</v>
      </c>
      <c r="E1254" s="3" t="str">
        <f>"2507014412"</f>
        <v>2507014412</v>
      </c>
      <c r="F1254" s="3" t="str">
        <f t="shared" si="127"/>
        <v>44</v>
      </c>
      <c r="G1254" s="4" t="str">
        <f>"12"</f>
        <v>12</v>
      </c>
      <c r="H1254" s="5">
        <v>45.2</v>
      </c>
      <c r="I1254" s="3"/>
    </row>
    <row r="1255" customHeight="1" spans="1:9">
      <c r="A1255" s="3" t="str">
        <f t="shared" si="124"/>
        <v>0105</v>
      </c>
      <c r="B1255" s="3" t="s">
        <v>19</v>
      </c>
      <c r="C1255" s="3" t="str">
        <f>"周雨轩"</f>
        <v>周雨轩</v>
      </c>
      <c r="D1255" s="3" t="str">
        <f t="shared" ref="D1255:D1267" si="128">"女"</f>
        <v>女</v>
      </c>
      <c r="E1255" s="3" t="str">
        <f>"2507014413"</f>
        <v>2507014413</v>
      </c>
      <c r="F1255" s="3" t="str">
        <f t="shared" si="127"/>
        <v>44</v>
      </c>
      <c r="G1255" s="4" t="str">
        <f>"13"</f>
        <v>13</v>
      </c>
      <c r="H1255" s="5">
        <v>41.8</v>
      </c>
      <c r="I1255" s="3"/>
    </row>
    <row r="1256" customHeight="1" spans="1:9">
      <c r="A1256" s="3" t="str">
        <f t="shared" si="124"/>
        <v>0105</v>
      </c>
      <c r="B1256" s="3" t="s">
        <v>19</v>
      </c>
      <c r="C1256" s="3" t="str">
        <f>"杜婉裴"</f>
        <v>杜婉裴</v>
      </c>
      <c r="D1256" s="3" t="str">
        <f t="shared" si="128"/>
        <v>女</v>
      </c>
      <c r="E1256" s="3" t="str">
        <f>"2507014414"</f>
        <v>2507014414</v>
      </c>
      <c r="F1256" s="3" t="str">
        <f t="shared" si="127"/>
        <v>44</v>
      </c>
      <c r="G1256" s="4" t="str">
        <f>"14"</f>
        <v>14</v>
      </c>
      <c r="H1256" s="5">
        <v>0</v>
      </c>
      <c r="I1256" s="3" t="s">
        <v>11</v>
      </c>
    </row>
    <row r="1257" customHeight="1" spans="1:9">
      <c r="A1257" s="3" t="str">
        <f t="shared" si="124"/>
        <v>0105</v>
      </c>
      <c r="B1257" s="3" t="s">
        <v>19</v>
      </c>
      <c r="C1257" s="3" t="str">
        <f>"陈倩"</f>
        <v>陈倩</v>
      </c>
      <c r="D1257" s="3" t="str">
        <f t="shared" si="128"/>
        <v>女</v>
      </c>
      <c r="E1257" s="3" t="str">
        <f>"2507014415"</f>
        <v>2507014415</v>
      </c>
      <c r="F1257" s="3" t="str">
        <f t="shared" si="127"/>
        <v>44</v>
      </c>
      <c r="G1257" s="4" t="str">
        <f>"15"</f>
        <v>15</v>
      </c>
      <c r="H1257" s="5">
        <v>66.3</v>
      </c>
      <c r="I1257" s="3"/>
    </row>
    <row r="1258" customHeight="1" spans="1:9">
      <c r="A1258" s="3" t="str">
        <f t="shared" si="124"/>
        <v>0105</v>
      </c>
      <c r="B1258" s="3" t="s">
        <v>19</v>
      </c>
      <c r="C1258" s="3" t="str">
        <f>"茅德贝"</f>
        <v>茅德贝</v>
      </c>
      <c r="D1258" s="3" t="str">
        <f t="shared" si="128"/>
        <v>女</v>
      </c>
      <c r="E1258" s="3" t="str">
        <f>"2507014416"</f>
        <v>2507014416</v>
      </c>
      <c r="F1258" s="3" t="str">
        <f t="shared" si="127"/>
        <v>44</v>
      </c>
      <c r="G1258" s="4" t="str">
        <f>"16"</f>
        <v>16</v>
      </c>
      <c r="H1258" s="5">
        <v>58.2</v>
      </c>
      <c r="I1258" s="3"/>
    </row>
    <row r="1259" customHeight="1" spans="1:9">
      <c r="A1259" s="3" t="str">
        <f t="shared" si="124"/>
        <v>0105</v>
      </c>
      <c r="B1259" s="3" t="s">
        <v>19</v>
      </c>
      <c r="C1259" s="3" t="str">
        <f>"韩家茹"</f>
        <v>韩家茹</v>
      </c>
      <c r="D1259" s="3" t="str">
        <f t="shared" si="128"/>
        <v>女</v>
      </c>
      <c r="E1259" s="3" t="str">
        <f>"2507014417"</f>
        <v>2507014417</v>
      </c>
      <c r="F1259" s="3" t="str">
        <f t="shared" si="127"/>
        <v>44</v>
      </c>
      <c r="G1259" s="4" t="str">
        <f>"17"</f>
        <v>17</v>
      </c>
      <c r="H1259" s="5">
        <v>60.4</v>
      </c>
      <c r="I1259" s="3"/>
    </row>
    <row r="1260" customHeight="1" spans="1:9">
      <c r="A1260" s="3" t="str">
        <f t="shared" si="124"/>
        <v>0105</v>
      </c>
      <c r="B1260" s="3" t="s">
        <v>19</v>
      </c>
      <c r="C1260" s="3" t="str">
        <f>"吕晓飞"</f>
        <v>吕晓飞</v>
      </c>
      <c r="D1260" s="3" t="str">
        <f t="shared" si="128"/>
        <v>女</v>
      </c>
      <c r="E1260" s="3" t="str">
        <f>"2507014418"</f>
        <v>2507014418</v>
      </c>
      <c r="F1260" s="3" t="str">
        <f t="shared" si="127"/>
        <v>44</v>
      </c>
      <c r="G1260" s="4" t="str">
        <f>"18"</f>
        <v>18</v>
      </c>
      <c r="H1260" s="5">
        <v>37.8</v>
      </c>
      <c r="I1260" s="3"/>
    </row>
    <row r="1261" customHeight="1" spans="1:9">
      <c r="A1261" s="3" t="str">
        <f t="shared" si="124"/>
        <v>0105</v>
      </c>
      <c r="B1261" s="3" t="s">
        <v>19</v>
      </c>
      <c r="C1261" s="3" t="str">
        <f>"苗梦"</f>
        <v>苗梦</v>
      </c>
      <c r="D1261" s="3" t="str">
        <f t="shared" si="128"/>
        <v>女</v>
      </c>
      <c r="E1261" s="3" t="str">
        <f>"2507014419"</f>
        <v>2507014419</v>
      </c>
      <c r="F1261" s="3" t="str">
        <f t="shared" si="127"/>
        <v>44</v>
      </c>
      <c r="G1261" s="4" t="str">
        <f>"19"</f>
        <v>19</v>
      </c>
      <c r="H1261" s="5">
        <v>0</v>
      </c>
      <c r="I1261" s="3" t="s">
        <v>11</v>
      </c>
    </row>
    <row r="1262" customHeight="1" spans="1:9">
      <c r="A1262" s="3" t="str">
        <f t="shared" si="124"/>
        <v>0105</v>
      </c>
      <c r="B1262" s="3" t="s">
        <v>19</v>
      </c>
      <c r="C1262" s="3" t="str">
        <f>"刘雅雯"</f>
        <v>刘雅雯</v>
      </c>
      <c r="D1262" s="3" t="str">
        <f t="shared" si="128"/>
        <v>女</v>
      </c>
      <c r="E1262" s="3" t="str">
        <f>"2507014420"</f>
        <v>2507014420</v>
      </c>
      <c r="F1262" s="3" t="str">
        <f t="shared" si="127"/>
        <v>44</v>
      </c>
      <c r="G1262" s="4" t="str">
        <f>"20"</f>
        <v>20</v>
      </c>
      <c r="H1262" s="5">
        <v>67.4</v>
      </c>
      <c r="I1262" s="3"/>
    </row>
    <row r="1263" customHeight="1" spans="1:9">
      <c r="A1263" s="3" t="str">
        <f t="shared" si="124"/>
        <v>0105</v>
      </c>
      <c r="B1263" s="3" t="s">
        <v>19</v>
      </c>
      <c r="C1263" s="3" t="str">
        <f>"贺宗超"</f>
        <v>贺宗超</v>
      </c>
      <c r="D1263" s="3" t="str">
        <f t="shared" si="128"/>
        <v>女</v>
      </c>
      <c r="E1263" s="3" t="str">
        <f>"2507014421"</f>
        <v>2507014421</v>
      </c>
      <c r="F1263" s="3" t="str">
        <f t="shared" si="127"/>
        <v>44</v>
      </c>
      <c r="G1263" s="4" t="str">
        <f>"21"</f>
        <v>21</v>
      </c>
      <c r="H1263" s="5">
        <v>60.9</v>
      </c>
      <c r="I1263" s="3"/>
    </row>
    <row r="1264" customHeight="1" spans="1:9">
      <c r="A1264" s="3" t="str">
        <f t="shared" si="124"/>
        <v>0105</v>
      </c>
      <c r="B1264" s="3" t="s">
        <v>19</v>
      </c>
      <c r="C1264" s="3" t="str">
        <f>"耿名晓"</f>
        <v>耿名晓</v>
      </c>
      <c r="D1264" s="3" t="str">
        <f t="shared" si="128"/>
        <v>女</v>
      </c>
      <c r="E1264" s="3" t="str">
        <f>"2507014422"</f>
        <v>2507014422</v>
      </c>
      <c r="F1264" s="3" t="str">
        <f t="shared" si="127"/>
        <v>44</v>
      </c>
      <c r="G1264" s="4" t="str">
        <f>"22"</f>
        <v>22</v>
      </c>
      <c r="H1264" s="5">
        <v>64</v>
      </c>
      <c r="I1264" s="3"/>
    </row>
    <row r="1265" customHeight="1" spans="1:9">
      <c r="A1265" s="3" t="str">
        <f t="shared" si="124"/>
        <v>0105</v>
      </c>
      <c r="B1265" s="3" t="s">
        <v>19</v>
      </c>
      <c r="C1265" s="3" t="str">
        <f>"刘珂辰"</f>
        <v>刘珂辰</v>
      </c>
      <c r="D1265" s="3" t="str">
        <f t="shared" si="128"/>
        <v>女</v>
      </c>
      <c r="E1265" s="3" t="str">
        <f>"2507014423"</f>
        <v>2507014423</v>
      </c>
      <c r="F1265" s="3" t="str">
        <f t="shared" si="127"/>
        <v>44</v>
      </c>
      <c r="G1265" s="4" t="str">
        <f>"23"</f>
        <v>23</v>
      </c>
      <c r="H1265" s="5">
        <v>57.5</v>
      </c>
      <c r="I1265" s="3"/>
    </row>
    <row r="1266" customHeight="1" spans="1:9">
      <c r="A1266" s="3" t="str">
        <f t="shared" si="124"/>
        <v>0105</v>
      </c>
      <c r="B1266" s="3" t="s">
        <v>19</v>
      </c>
      <c r="C1266" s="3" t="str">
        <f>"魏瑞"</f>
        <v>魏瑞</v>
      </c>
      <c r="D1266" s="3" t="str">
        <f t="shared" si="128"/>
        <v>女</v>
      </c>
      <c r="E1266" s="3" t="str">
        <f>"2507014424"</f>
        <v>2507014424</v>
      </c>
      <c r="F1266" s="3" t="str">
        <f t="shared" si="127"/>
        <v>44</v>
      </c>
      <c r="G1266" s="4" t="str">
        <f>"24"</f>
        <v>24</v>
      </c>
      <c r="H1266" s="5">
        <v>0</v>
      </c>
      <c r="I1266" s="3" t="s">
        <v>11</v>
      </c>
    </row>
    <row r="1267" customHeight="1" spans="1:9">
      <c r="A1267" s="3" t="str">
        <f t="shared" si="124"/>
        <v>0105</v>
      </c>
      <c r="B1267" s="3" t="s">
        <v>19</v>
      </c>
      <c r="C1267" s="3" t="str">
        <f>"娄潇丹"</f>
        <v>娄潇丹</v>
      </c>
      <c r="D1267" s="3" t="str">
        <f t="shared" si="128"/>
        <v>女</v>
      </c>
      <c r="E1267" s="3" t="str">
        <f>"2507014425"</f>
        <v>2507014425</v>
      </c>
      <c r="F1267" s="3" t="str">
        <f t="shared" si="127"/>
        <v>44</v>
      </c>
      <c r="G1267" s="4" t="str">
        <f>"25"</f>
        <v>25</v>
      </c>
      <c r="H1267" s="5">
        <v>55.6</v>
      </c>
      <c r="I1267" s="3"/>
    </row>
    <row r="1268" customHeight="1" spans="1:9">
      <c r="A1268" s="3" t="str">
        <f t="shared" si="124"/>
        <v>0105</v>
      </c>
      <c r="B1268" s="3" t="s">
        <v>19</v>
      </c>
      <c r="C1268" s="3" t="str">
        <f>"郭成"</f>
        <v>郭成</v>
      </c>
      <c r="D1268" s="3" t="str">
        <f>"男"</f>
        <v>男</v>
      </c>
      <c r="E1268" s="3" t="str">
        <f>"2507014426"</f>
        <v>2507014426</v>
      </c>
      <c r="F1268" s="3" t="str">
        <f t="shared" si="127"/>
        <v>44</v>
      </c>
      <c r="G1268" s="4" t="str">
        <f>"26"</f>
        <v>26</v>
      </c>
      <c r="H1268" s="5">
        <v>38.6</v>
      </c>
      <c r="I1268" s="3"/>
    </row>
    <row r="1269" customHeight="1" spans="1:9">
      <c r="A1269" s="3" t="str">
        <f t="shared" si="124"/>
        <v>0105</v>
      </c>
      <c r="B1269" s="3" t="s">
        <v>19</v>
      </c>
      <c r="C1269" s="3" t="str">
        <f>"张艺凡"</f>
        <v>张艺凡</v>
      </c>
      <c r="D1269" s="3" t="str">
        <f>"女"</f>
        <v>女</v>
      </c>
      <c r="E1269" s="3" t="str">
        <f>"2507014427"</f>
        <v>2507014427</v>
      </c>
      <c r="F1269" s="3" t="str">
        <f t="shared" si="127"/>
        <v>44</v>
      </c>
      <c r="G1269" s="4" t="str">
        <f>"27"</f>
        <v>27</v>
      </c>
      <c r="H1269" s="5">
        <v>0</v>
      </c>
      <c r="I1269" s="3" t="s">
        <v>11</v>
      </c>
    </row>
    <row r="1270" customHeight="1" spans="1:9">
      <c r="A1270" s="3" t="str">
        <f t="shared" si="124"/>
        <v>0105</v>
      </c>
      <c r="B1270" s="3" t="s">
        <v>19</v>
      </c>
      <c r="C1270" s="3" t="str">
        <f>"傅欢"</f>
        <v>傅欢</v>
      </c>
      <c r="D1270" s="3" t="str">
        <f>"女"</f>
        <v>女</v>
      </c>
      <c r="E1270" s="3" t="str">
        <f>"2507014428"</f>
        <v>2507014428</v>
      </c>
      <c r="F1270" s="3" t="str">
        <f t="shared" si="127"/>
        <v>44</v>
      </c>
      <c r="G1270" s="4" t="str">
        <f>"28"</f>
        <v>28</v>
      </c>
      <c r="H1270" s="5">
        <v>0</v>
      </c>
      <c r="I1270" s="3" t="s">
        <v>11</v>
      </c>
    </row>
    <row r="1271" customHeight="1" spans="1:9">
      <c r="A1271" s="3" t="str">
        <f t="shared" si="124"/>
        <v>0105</v>
      </c>
      <c r="B1271" s="3" t="s">
        <v>19</v>
      </c>
      <c r="C1271" s="3" t="str">
        <f>"陈宇"</f>
        <v>陈宇</v>
      </c>
      <c r="D1271" s="3" t="str">
        <f>"女"</f>
        <v>女</v>
      </c>
      <c r="E1271" s="3" t="str">
        <f>"2507014429"</f>
        <v>2507014429</v>
      </c>
      <c r="F1271" s="3" t="str">
        <f t="shared" si="127"/>
        <v>44</v>
      </c>
      <c r="G1271" s="4" t="str">
        <f>"29"</f>
        <v>29</v>
      </c>
      <c r="H1271" s="5">
        <v>0</v>
      </c>
      <c r="I1271" s="3" t="s">
        <v>11</v>
      </c>
    </row>
    <row r="1272" customHeight="1" spans="1:9">
      <c r="A1272" s="3" t="str">
        <f t="shared" si="124"/>
        <v>0105</v>
      </c>
      <c r="B1272" s="3" t="s">
        <v>19</v>
      </c>
      <c r="C1272" s="3" t="str">
        <f>"杨旭"</f>
        <v>杨旭</v>
      </c>
      <c r="D1272" s="3" t="str">
        <f>"男"</f>
        <v>男</v>
      </c>
      <c r="E1272" s="3" t="str">
        <f>"2507014430"</f>
        <v>2507014430</v>
      </c>
      <c r="F1272" s="3" t="str">
        <f t="shared" si="127"/>
        <v>44</v>
      </c>
      <c r="G1272" s="4" t="str">
        <f>"30"</f>
        <v>30</v>
      </c>
      <c r="H1272" s="5">
        <v>47.4</v>
      </c>
      <c r="I1272" s="3"/>
    </row>
    <row r="1273" customHeight="1" spans="1:9">
      <c r="A1273" s="3" t="str">
        <f t="shared" si="124"/>
        <v>0105</v>
      </c>
      <c r="B1273" s="3" t="s">
        <v>19</v>
      </c>
      <c r="C1273" s="3" t="str">
        <f>"王衣帆"</f>
        <v>王衣帆</v>
      </c>
      <c r="D1273" s="3" t="str">
        <f>"女"</f>
        <v>女</v>
      </c>
      <c r="E1273" s="3" t="str">
        <f>"2507014431"</f>
        <v>2507014431</v>
      </c>
      <c r="F1273" s="3" t="str">
        <f t="shared" si="127"/>
        <v>44</v>
      </c>
      <c r="G1273" s="4" t="str">
        <f>"31"</f>
        <v>31</v>
      </c>
      <c r="H1273" s="5">
        <v>45.4</v>
      </c>
      <c r="I1273" s="3"/>
    </row>
    <row r="1274" customHeight="1" spans="1:9">
      <c r="A1274" s="3" t="str">
        <f t="shared" si="124"/>
        <v>0105</v>
      </c>
      <c r="B1274" s="3" t="s">
        <v>19</v>
      </c>
      <c r="C1274" s="3" t="str">
        <f>"成齐"</f>
        <v>成齐</v>
      </c>
      <c r="D1274" s="3" t="str">
        <f>"男"</f>
        <v>男</v>
      </c>
      <c r="E1274" s="3" t="str">
        <f>"2507014501"</f>
        <v>2507014501</v>
      </c>
      <c r="F1274" s="3" t="str">
        <f t="shared" ref="F1274:F1304" si="129">"45"</f>
        <v>45</v>
      </c>
      <c r="G1274" s="4" t="str">
        <f>"01"</f>
        <v>01</v>
      </c>
      <c r="H1274" s="5">
        <v>65.1</v>
      </c>
      <c r="I1274" s="3"/>
    </row>
    <row r="1275" customHeight="1" spans="1:9">
      <c r="A1275" s="3" t="str">
        <f t="shared" si="124"/>
        <v>0105</v>
      </c>
      <c r="B1275" s="3" t="s">
        <v>19</v>
      </c>
      <c r="C1275" s="3" t="str">
        <f>"陈静"</f>
        <v>陈静</v>
      </c>
      <c r="D1275" s="3" t="str">
        <f>"女"</f>
        <v>女</v>
      </c>
      <c r="E1275" s="3" t="str">
        <f>"2507014502"</f>
        <v>2507014502</v>
      </c>
      <c r="F1275" s="3" t="str">
        <f t="shared" si="129"/>
        <v>45</v>
      </c>
      <c r="G1275" s="4" t="str">
        <f>"02"</f>
        <v>02</v>
      </c>
      <c r="H1275" s="5">
        <v>0</v>
      </c>
      <c r="I1275" s="3" t="s">
        <v>11</v>
      </c>
    </row>
    <row r="1276" customHeight="1" spans="1:9">
      <c r="A1276" s="3" t="str">
        <f t="shared" si="124"/>
        <v>0105</v>
      </c>
      <c r="B1276" s="3" t="s">
        <v>19</v>
      </c>
      <c r="C1276" s="3" t="str">
        <f>"周柏宇"</f>
        <v>周柏宇</v>
      </c>
      <c r="D1276" s="3" t="str">
        <f>"男"</f>
        <v>男</v>
      </c>
      <c r="E1276" s="3" t="str">
        <f>"2507014503"</f>
        <v>2507014503</v>
      </c>
      <c r="F1276" s="3" t="str">
        <f t="shared" si="129"/>
        <v>45</v>
      </c>
      <c r="G1276" s="4" t="str">
        <f>"03"</f>
        <v>03</v>
      </c>
      <c r="H1276" s="5">
        <v>0</v>
      </c>
      <c r="I1276" s="3" t="s">
        <v>11</v>
      </c>
    </row>
    <row r="1277" customHeight="1" spans="1:9">
      <c r="A1277" s="3" t="str">
        <f t="shared" si="124"/>
        <v>0105</v>
      </c>
      <c r="B1277" s="3" t="s">
        <v>19</v>
      </c>
      <c r="C1277" s="3" t="str">
        <f>"李海鹏"</f>
        <v>李海鹏</v>
      </c>
      <c r="D1277" s="3" t="str">
        <f>"男"</f>
        <v>男</v>
      </c>
      <c r="E1277" s="3" t="str">
        <f>"2507014504"</f>
        <v>2507014504</v>
      </c>
      <c r="F1277" s="3" t="str">
        <f t="shared" si="129"/>
        <v>45</v>
      </c>
      <c r="G1277" s="4" t="str">
        <f>"04"</f>
        <v>04</v>
      </c>
      <c r="H1277" s="5">
        <v>54.6</v>
      </c>
      <c r="I1277" s="3"/>
    </row>
    <row r="1278" customHeight="1" spans="1:9">
      <c r="A1278" s="3" t="str">
        <f t="shared" si="124"/>
        <v>0105</v>
      </c>
      <c r="B1278" s="3" t="s">
        <v>19</v>
      </c>
      <c r="C1278" s="3" t="str">
        <f>"张薇"</f>
        <v>张薇</v>
      </c>
      <c r="D1278" s="3" t="str">
        <f t="shared" ref="D1278:D1284" si="130">"女"</f>
        <v>女</v>
      </c>
      <c r="E1278" s="3" t="str">
        <f>"2507014505"</f>
        <v>2507014505</v>
      </c>
      <c r="F1278" s="3" t="str">
        <f t="shared" si="129"/>
        <v>45</v>
      </c>
      <c r="G1278" s="4" t="str">
        <f>"05"</f>
        <v>05</v>
      </c>
      <c r="H1278" s="5">
        <v>0</v>
      </c>
      <c r="I1278" s="3" t="s">
        <v>11</v>
      </c>
    </row>
    <row r="1279" customHeight="1" spans="1:9">
      <c r="A1279" s="3" t="str">
        <f t="shared" si="124"/>
        <v>0105</v>
      </c>
      <c r="B1279" s="3" t="s">
        <v>19</v>
      </c>
      <c r="C1279" s="3" t="str">
        <f>"张薇"</f>
        <v>张薇</v>
      </c>
      <c r="D1279" s="3" t="str">
        <f t="shared" si="130"/>
        <v>女</v>
      </c>
      <c r="E1279" s="3" t="str">
        <f>"2507014506"</f>
        <v>2507014506</v>
      </c>
      <c r="F1279" s="3" t="str">
        <f t="shared" si="129"/>
        <v>45</v>
      </c>
      <c r="G1279" s="4" t="str">
        <f>"06"</f>
        <v>06</v>
      </c>
      <c r="H1279" s="5">
        <v>0</v>
      </c>
      <c r="I1279" s="3" t="s">
        <v>11</v>
      </c>
    </row>
    <row r="1280" customHeight="1" spans="1:9">
      <c r="A1280" s="3" t="str">
        <f t="shared" si="124"/>
        <v>0105</v>
      </c>
      <c r="B1280" s="3" t="s">
        <v>19</v>
      </c>
      <c r="C1280" s="3" t="str">
        <f>"周慕紫"</f>
        <v>周慕紫</v>
      </c>
      <c r="D1280" s="3" t="str">
        <f t="shared" si="130"/>
        <v>女</v>
      </c>
      <c r="E1280" s="3" t="str">
        <f>"2507014507"</f>
        <v>2507014507</v>
      </c>
      <c r="F1280" s="3" t="str">
        <f t="shared" si="129"/>
        <v>45</v>
      </c>
      <c r="G1280" s="4" t="str">
        <f>"07"</f>
        <v>07</v>
      </c>
      <c r="H1280" s="5">
        <v>56.6</v>
      </c>
      <c r="I1280" s="3"/>
    </row>
    <row r="1281" customHeight="1" spans="1:9">
      <c r="A1281" s="3" t="str">
        <f t="shared" si="124"/>
        <v>0105</v>
      </c>
      <c r="B1281" s="3" t="s">
        <v>19</v>
      </c>
      <c r="C1281" s="3" t="str">
        <f>"韩宜霖"</f>
        <v>韩宜霖</v>
      </c>
      <c r="D1281" s="3" t="str">
        <f t="shared" si="130"/>
        <v>女</v>
      </c>
      <c r="E1281" s="3" t="str">
        <f>"2507014508"</f>
        <v>2507014508</v>
      </c>
      <c r="F1281" s="3" t="str">
        <f t="shared" si="129"/>
        <v>45</v>
      </c>
      <c r="G1281" s="4" t="str">
        <f>"08"</f>
        <v>08</v>
      </c>
      <c r="H1281" s="5">
        <v>52.3</v>
      </c>
      <c r="I1281" s="3"/>
    </row>
    <row r="1282" customHeight="1" spans="1:9">
      <c r="A1282" s="3" t="str">
        <f t="shared" si="124"/>
        <v>0105</v>
      </c>
      <c r="B1282" s="3" t="s">
        <v>19</v>
      </c>
      <c r="C1282" s="3" t="str">
        <f>"刘曼"</f>
        <v>刘曼</v>
      </c>
      <c r="D1282" s="3" t="str">
        <f t="shared" si="130"/>
        <v>女</v>
      </c>
      <c r="E1282" s="3" t="str">
        <f>"2507014509"</f>
        <v>2507014509</v>
      </c>
      <c r="F1282" s="3" t="str">
        <f t="shared" si="129"/>
        <v>45</v>
      </c>
      <c r="G1282" s="4" t="str">
        <f>"09"</f>
        <v>09</v>
      </c>
      <c r="H1282" s="5">
        <v>72.6</v>
      </c>
      <c r="I1282" s="3"/>
    </row>
    <row r="1283" customHeight="1" spans="1:9">
      <c r="A1283" s="3" t="str">
        <f t="shared" si="124"/>
        <v>0105</v>
      </c>
      <c r="B1283" s="3" t="s">
        <v>19</v>
      </c>
      <c r="C1283" s="3" t="str">
        <f>"朱梦琪"</f>
        <v>朱梦琪</v>
      </c>
      <c r="D1283" s="3" t="str">
        <f t="shared" si="130"/>
        <v>女</v>
      </c>
      <c r="E1283" s="3" t="str">
        <f>"2507014510"</f>
        <v>2507014510</v>
      </c>
      <c r="F1283" s="3" t="str">
        <f t="shared" si="129"/>
        <v>45</v>
      </c>
      <c r="G1283" s="4" t="str">
        <f>"10"</f>
        <v>10</v>
      </c>
      <c r="H1283" s="5">
        <v>0</v>
      </c>
      <c r="I1283" s="3" t="s">
        <v>11</v>
      </c>
    </row>
    <row r="1284" customHeight="1" spans="1:9">
      <c r="A1284" s="3" t="str">
        <f t="shared" si="124"/>
        <v>0105</v>
      </c>
      <c r="B1284" s="3" t="s">
        <v>19</v>
      </c>
      <c r="C1284" s="3" t="str">
        <f>"孙嘉铭"</f>
        <v>孙嘉铭</v>
      </c>
      <c r="D1284" s="3" t="str">
        <f t="shared" si="130"/>
        <v>女</v>
      </c>
      <c r="E1284" s="3" t="str">
        <f>"2507014511"</f>
        <v>2507014511</v>
      </c>
      <c r="F1284" s="3" t="str">
        <f t="shared" si="129"/>
        <v>45</v>
      </c>
      <c r="G1284" s="4" t="str">
        <f>"11"</f>
        <v>11</v>
      </c>
      <c r="H1284" s="5">
        <v>57.9</v>
      </c>
      <c r="I1284" s="3"/>
    </row>
    <row r="1285" customHeight="1" spans="1:9">
      <c r="A1285" s="3" t="str">
        <f t="shared" si="124"/>
        <v>0105</v>
      </c>
      <c r="B1285" s="3" t="s">
        <v>19</v>
      </c>
      <c r="C1285" s="3" t="str">
        <f>"孙忠瑞"</f>
        <v>孙忠瑞</v>
      </c>
      <c r="D1285" s="3" t="str">
        <f>"男"</f>
        <v>男</v>
      </c>
      <c r="E1285" s="3" t="str">
        <f>"2507014512"</f>
        <v>2507014512</v>
      </c>
      <c r="F1285" s="3" t="str">
        <f t="shared" si="129"/>
        <v>45</v>
      </c>
      <c r="G1285" s="4" t="str">
        <f>"12"</f>
        <v>12</v>
      </c>
      <c r="H1285" s="5">
        <v>0</v>
      </c>
      <c r="I1285" s="3" t="s">
        <v>11</v>
      </c>
    </row>
    <row r="1286" customHeight="1" spans="1:9">
      <c r="A1286" s="3" t="str">
        <f t="shared" si="124"/>
        <v>0105</v>
      </c>
      <c r="B1286" s="3" t="s">
        <v>19</v>
      </c>
      <c r="C1286" s="3" t="str">
        <f>"陶姌欣"</f>
        <v>陶姌欣</v>
      </c>
      <c r="D1286" s="3" t="str">
        <f>"女"</f>
        <v>女</v>
      </c>
      <c r="E1286" s="3" t="str">
        <f>"2507014513"</f>
        <v>2507014513</v>
      </c>
      <c r="F1286" s="3" t="str">
        <f t="shared" si="129"/>
        <v>45</v>
      </c>
      <c r="G1286" s="4" t="str">
        <f>"13"</f>
        <v>13</v>
      </c>
      <c r="H1286" s="5">
        <v>0</v>
      </c>
      <c r="I1286" s="3" t="s">
        <v>11</v>
      </c>
    </row>
    <row r="1287" customHeight="1" spans="1:9">
      <c r="A1287" s="3" t="str">
        <f t="shared" si="124"/>
        <v>0105</v>
      </c>
      <c r="B1287" s="3" t="s">
        <v>19</v>
      </c>
      <c r="C1287" s="3" t="str">
        <f>"陈文斐"</f>
        <v>陈文斐</v>
      </c>
      <c r="D1287" s="3" t="str">
        <f>"女"</f>
        <v>女</v>
      </c>
      <c r="E1287" s="3" t="str">
        <f>"2507014514"</f>
        <v>2507014514</v>
      </c>
      <c r="F1287" s="3" t="str">
        <f t="shared" si="129"/>
        <v>45</v>
      </c>
      <c r="G1287" s="4" t="str">
        <f>"14"</f>
        <v>14</v>
      </c>
      <c r="H1287" s="5">
        <v>0</v>
      </c>
      <c r="I1287" s="3" t="s">
        <v>11</v>
      </c>
    </row>
    <row r="1288" customHeight="1" spans="1:9">
      <c r="A1288" s="3" t="str">
        <f t="shared" si="124"/>
        <v>0105</v>
      </c>
      <c r="B1288" s="3" t="s">
        <v>19</v>
      </c>
      <c r="C1288" s="3" t="str">
        <f>"夏文静"</f>
        <v>夏文静</v>
      </c>
      <c r="D1288" s="3" t="str">
        <f>"女"</f>
        <v>女</v>
      </c>
      <c r="E1288" s="3" t="str">
        <f>"2507014515"</f>
        <v>2507014515</v>
      </c>
      <c r="F1288" s="3" t="str">
        <f t="shared" si="129"/>
        <v>45</v>
      </c>
      <c r="G1288" s="4" t="str">
        <f>"15"</f>
        <v>15</v>
      </c>
      <c r="H1288" s="5">
        <v>0</v>
      </c>
      <c r="I1288" s="3" t="s">
        <v>11</v>
      </c>
    </row>
    <row r="1289" customHeight="1" spans="1:9">
      <c r="A1289" s="3" t="str">
        <f t="shared" ref="A1289:A1352" si="131">"0105"</f>
        <v>0105</v>
      </c>
      <c r="B1289" s="3" t="s">
        <v>19</v>
      </c>
      <c r="C1289" s="3" t="str">
        <f>"邹铭珊"</f>
        <v>邹铭珊</v>
      </c>
      <c r="D1289" s="3" t="str">
        <f>"女"</f>
        <v>女</v>
      </c>
      <c r="E1289" s="3" t="str">
        <f>"2507014516"</f>
        <v>2507014516</v>
      </c>
      <c r="F1289" s="3" t="str">
        <f t="shared" si="129"/>
        <v>45</v>
      </c>
      <c r="G1289" s="4" t="str">
        <f>"16"</f>
        <v>16</v>
      </c>
      <c r="H1289" s="5">
        <v>0</v>
      </c>
      <c r="I1289" s="3" t="s">
        <v>11</v>
      </c>
    </row>
    <row r="1290" customHeight="1" spans="1:9">
      <c r="A1290" s="3" t="str">
        <f t="shared" si="131"/>
        <v>0105</v>
      </c>
      <c r="B1290" s="3" t="s">
        <v>19</v>
      </c>
      <c r="C1290" s="3" t="str">
        <f>"娄超越"</f>
        <v>娄超越</v>
      </c>
      <c r="D1290" s="3" t="str">
        <f>"男"</f>
        <v>男</v>
      </c>
      <c r="E1290" s="3" t="str">
        <f>"2507014517"</f>
        <v>2507014517</v>
      </c>
      <c r="F1290" s="3" t="str">
        <f t="shared" si="129"/>
        <v>45</v>
      </c>
      <c r="G1290" s="4" t="str">
        <f>"17"</f>
        <v>17</v>
      </c>
      <c r="H1290" s="5">
        <v>47.6</v>
      </c>
      <c r="I1290" s="3"/>
    </row>
    <row r="1291" customHeight="1" spans="1:9">
      <c r="A1291" s="3" t="str">
        <f t="shared" si="131"/>
        <v>0105</v>
      </c>
      <c r="B1291" s="3" t="s">
        <v>19</v>
      </c>
      <c r="C1291" s="3" t="str">
        <f>"孙玖悦"</f>
        <v>孙玖悦</v>
      </c>
      <c r="D1291" s="3" t="str">
        <f>"女"</f>
        <v>女</v>
      </c>
      <c r="E1291" s="3" t="str">
        <f>"2507014518"</f>
        <v>2507014518</v>
      </c>
      <c r="F1291" s="3" t="str">
        <f t="shared" si="129"/>
        <v>45</v>
      </c>
      <c r="G1291" s="4" t="str">
        <f>"18"</f>
        <v>18</v>
      </c>
      <c r="H1291" s="5">
        <v>57.8</v>
      </c>
      <c r="I1291" s="3"/>
    </row>
    <row r="1292" customHeight="1" spans="1:9">
      <c r="A1292" s="3" t="str">
        <f t="shared" si="131"/>
        <v>0105</v>
      </c>
      <c r="B1292" s="3" t="s">
        <v>19</v>
      </c>
      <c r="C1292" s="3" t="str">
        <f>"翟阳阳"</f>
        <v>翟阳阳</v>
      </c>
      <c r="D1292" s="3" t="str">
        <f>"男"</f>
        <v>男</v>
      </c>
      <c r="E1292" s="3" t="str">
        <f>"2507014519"</f>
        <v>2507014519</v>
      </c>
      <c r="F1292" s="3" t="str">
        <f t="shared" si="129"/>
        <v>45</v>
      </c>
      <c r="G1292" s="4" t="str">
        <f>"19"</f>
        <v>19</v>
      </c>
      <c r="H1292" s="5">
        <v>0</v>
      </c>
      <c r="I1292" s="3" t="s">
        <v>11</v>
      </c>
    </row>
    <row r="1293" customHeight="1" spans="1:9">
      <c r="A1293" s="3" t="str">
        <f t="shared" si="131"/>
        <v>0105</v>
      </c>
      <c r="B1293" s="3" t="s">
        <v>19</v>
      </c>
      <c r="C1293" s="3" t="str">
        <f>"李耐"</f>
        <v>李耐</v>
      </c>
      <c r="D1293" s="3" t="str">
        <f>"女"</f>
        <v>女</v>
      </c>
      <c r="E1293" s="3" t="str">
        <f>"2507014520"</f>
        <v>2507014520</v>
      </c>
      <c r="F1293" s="3" t="str">
        <f t="shared" si="129"/>
        <v>45</v>
      </c>
      <c r="G1293" s="4" t="str">
        <f>"20"</f>
        <v>20</v>
      </c>
      <c r="H1293" s="5">
        <v>52.1</v>
      </c>
      <c r="I1293" s="3"/>
    </row>
    <row r="1294" customHeight="1" spans="1:9">
      <c r="A1294" s="3" t="str">
        <f t="shared" si="131"/>
        <v>0105</v>
      </c>
      <c r="B1294" s="3" t="s">
        <v>19</v>
      </c>
      <c r="C1294" s="3" t="str">
        <f>"张天祺"</f>
        <v>张天祺</v>
      </c>
      <c r="D1294" s="3" t="str">
        <f>"男"</f>
        <v>男</v>
      </c>
      <c r="E1294" s="3" t="str">
        <f>"2507014521"</f>
        <v>2507014521</v>
      </c>
      <c r="F1294" s="3" t="str">
        <f t="shared" si="129"/>
        <v>45</v>
      </c>
      <c r="G1294" s="4" t="str">
        <f>"21"</f>
        <v>21</v>
      </c>
      <c r="H1294" s="5">
        <v>63.7</v>
      </c>
      <c r="I1294" s="3"/>
    </row>
    <row r="1295" customHeight="1" spans="1:9">
      <c r="A1295" s="3" t="str">
        <f t="shared" si="131"/>
        <v>0105</v>
      </c>
      <c r="B1295" s="3" t="s">
        <v>19</v>
      </c>
      <c r="C1295" s="3" t="str">
        <f>"范晨曦"</f>
        <v>范晨曦</v>
      </c>
      <c r="D1295" s="3" t="str">
        <f>"女"</f>
        <v>女</v>
      </c>
      <c r="E1295" s="3" t="str">
        <f>"2507014522"</f>
        <v>2507014522</v>
      </c>
      <c r="F1295" s="3" t="str">
        <f t="shared" si="129"/>
        <v>45</v>
      </c>
      <c r="G1295" s="4" t="str">
        <f>"22"</f>
        <v>22</v>
      </c>
      <c r="H1295" s="5">
        <v>39.3</v>
      </c>
      <c r="I1295" s="3"/>
    </row>
    <row r="1296" customHeight="1" spans="1:9">
      <c r="A1296" s="3" t="str">
        <f t="shared" si="131"/>
        <v>0105</v>
      </c>
      <c r="B1296" s="3" t="s">
        <v>19</v>
      </c>
      <c r="C1296" s="3" t="str">
        <f>"孙启通"</f>
        <v>孙启通</v>
      </c>
      <c r="D1296" s="3" t="str">
        <f>"男"</f>
        <v>男</v>
      </c>
      <c r="E1296" s="3" t="str">
        <f>"2507014523"</f>
        <v>2507014523</v>
      </c>
      <c r="F1296" s="3" t="str">
        <f t="shared" si="129"/>
        <v>45</v>
      </c>
      <c r="G1296" s="4" t="str">
        <f>"23"</f>
        <v>23</v>
      </c>
      <c r="H1296" s="5">
        <v>0</v>
      </c>
      <c r="I1296" s="3" t="s">
        <v>11</v>
      </c>
    </row>
    <row r="1297" customHeight="1" spans="1:9">
      <c r="A1297" s="3" t="str">
        <f t="shared" si="131"/>
        <v>0105</v>
      </c>
      <c r="B1297" s="3" t="s">
        <v>19</v>
      </c>
      <c r="C1297" s="3" t="str">
        <f>"魏一建"</f>
        <v>魏一建</v>
      </c>
      <c r="D1297" s="3" t="str">
        <f>"男"</f>
        <v>男</v>
      </c>
      <c r="E1297" s="3" t="str">
        <f>"2507014524"</f>
        <v>2507014524</v>
      </c>
      <c r="F1297" s="3" t="str">
        <f t="shared" si="129"/>
        <v>45</v>
      </c>
      <c r="G1297" s="4" t="str">
        <f>"24"</f>
        <v>24</v>
      </c>
      <c r="H1297" s="5">
        <v>66.4</v>
      </c>
      <c r="I1297" s="3"/>
    </row>
    <row r="1298" customHeight="1" spans="1:9">
      <c r="A1298" s="3" t="str">
        <f t="shared" si="131"/>
        <v>0105</v>
      </c>
      <c r="B1298" s="3" t="s">
        <v>19</v>
      </c>
      <c r="C1298" s="3" t="str">
        <f>"王霜"</f>
        <v>王霜</v>
      </c>
      <c r="D1298" s="3" t="str">
        <f>"女"</f>
        <v>女</v>
      </c>
      <c r="E1298" s="3" t="str">
        <f>"2507014525"</f>
        <v>2507014525</v>
      </c>
      <c r="F1298" s="3" t="str">
        <f t="shared" si="129"/>
        <v>45</v>
      </c>
      <c r="G1298" s="4" t="str">
        <f>"25"</f>
        <v>25</v>
      </c>
      <c r="H1298" s="5">
        <v>0</v>
      </c>
      <c r="I1298" s="3" t="s">
        <v>11</v>
      </c>
    </row>
    <row r="1299" customHeight="1" spans="1:9">
      <c r="A1299" s="3" t="str">
        <f t="shared" si="131"/>
        <v>0105</v>
      </c>
      <c r="B1299" s="3" t="s">
        <v>19</v>
      </c>
      <c r="C1299" s="3" t="str">
        <f>"唐小婷"</f>
        <v>唐小婷</v>
      </c>
      <c r="D1299" s="3" t="str">
        <f>"女"</f>
        <v>女</v>
      </c>
      <c r="E1299" s="3" t="str">
        <f>"2507014526"</f>
        <v>2507014526</v>
      </c>
      <c r="F1299" s="3" t="str">
        <f t="shared" si="129"/>
        <v>45</v>
      </c>
      <c r="G1299" s="4" t="str">
        <f>"26"</f>
        <v>26</v>
      </c>
      <c r="H1299" s="5">
        <v>48.3</v>
      </c>
      <c r="I1299" s="3"/>
    </row>
    <row r="1300" customHeight="1" spans="1:9">
      <c r="A1300" s="3" t="str">
        <f t="shared" si="131"/>
        <v>0105</v>
      </c>
      <c r="B1300" s="3" t="s">
        <v>19</v>
      </c>
      <c r="C1300" s="3" t="str">
        <f>"潘盼盼"</f>
        <v>潘盼盼</v>
      </c>
      <c r="D1300" s="3" t="str">
        <f>"女"</f>
        <v>女</v>
      </c>
      <c r="E1300" s="3" t="str">
        <f>"2507014527"</f>
        <v>2507014527</v>
      </c>
      <c r="F1300" s="3" t="str">
        <f t="shared" si="129"/>
        <v>45</v>
      </c>
      <c r="G1300" s="4" t="str">
        <f>"27"</f>
        <v>27</v>
      </c>
      <c r="H1300" s="5">
        <v>0</v>
      </c>
      <c r="I1300" s="3" t="s">
        <v>11</v>
      </c>
    </row>
    <row r="1301" customHeight="1" spans="1:9">
      <c r="A1301" s="3" t="str">
        <f t="shared" si="131"/>
        <v>0105</v>
      </c>
      <c r="B1301" s="3" t="s">
        <v>19</v>
      </c>
      <c r="C1301" s="3" t="str">
        <f>"李思李"</f>
        <v>李思李</v>
      </c>
      <c r="D1301" s="3" t="str">
        <f>"女"</f>
        <v>女</v>
      </c>
      <c r="E1301" s="3" t="str">
        <f>"2507014528"</f>
        <v>2507014528</v>
      </c>
      <c r="F1301" s="3" t="str">
        <f t="shared" si="129"/>
        <v>45</v>
      </c>
      <c r="G1301" s="4" t="str">
        <f>"28"</f>
        <v>28</v>
      </c>
      <c r="H1301" s="5">
        <v>56.4</v>
      </c>
      <c r="I1301" s="3"/>
    </row>
    <row r="1302" customHeight="1" spans="1:9">
      <c r="A1302" s="3" t="str">
        <f t="shared" si="131"/>
        <v>0105</v>
      </c>
      <c r="B1302" s="3" t="s">
        <v>19</v>
      </c>
      <c r="C1302" s="3" t="str">
        <f>"吴秋林"</f>
        <v>吴秋林</v>
      </c>
      <c r="D1302" s="3" t="str">
        <f>"男"</f>
        <v>男</v>
      </c>
      <c r="E1302" s="3" t="str">
        <f>"2507014529"</f>
        <v>2507014529</v>
      </c>
      <c r="F1302" s="3" t="str">
        <f t="shared" si="129"/>
        <v>45</v>
      </c>
      <c r="G1302" s="4" t="str">
        <f>"29"</f>
        <v>29</v>
      </c>
      <c r="H1302" s="5">
        <v>27.2</v>
      </c>
      <c r="I1302" s="3"/>
    </row>
    <row r="1303" customHeight="1" spans="1:9">
      <c r="A1303" s="3" t="str">
        <f t="shared" si="131"/>
        <v>0105</v>
      </c>
      <c r="B1303" s="3" t="s">
        <v>19</v>
      </c>
      <c r="C1303" s="3" t="str">
        <f>"谷宗元"</f>
        <v>谷宗元</v>
      </c>
      <c r="D1303" s="3" t="str">
        <f>"男"</f>
        <v>男</v>
      </c>
      <c r="E1303" s="3" t="str">
        <f>"2507014530"</f>
        <v>2507014530</v>
      </c>
      <c r="F1303" s="3" t="str">
        <f t="shared" si="129"/>
        <v>45</v>
      </c>
      <c r="G1303" s="4" t="str">
        <f>"30"</f>
        <v>30</v>
      </c>
      <c r="H1303" s="5">
        <v>0</v>
      </c>
      <c r="I1303" s="3" t="s">
        <v>11</v>
      </c>
    </row>
    <row r="1304" customHeight="1" spans="1:9">
      <c r="A1304" s="3" t="str">
        <f t="shared" si="131"/>
        <v>0105</v>
      </c>
      <c r="B1304" s="3" t="s">
        <v>19</v>
      </c>
      <c r="C1304" s="3" t="str">
        <f>"董超华"</f>
        <v>董超华</v>
      </c>
      <c r="D1304" s="3" t="str">
        <f>"女"</f>
        <v>女</v>
      </c>
      <c r="E1304" s="3" t="str">
        <f>"2507014531"</f>
        <v>2507014531</v>
      </c>
      <c r="F1304" s="3" t="str">
        <f t="shared" si="129"/>
        <v>45</v>
      </c>
      <c r="G1304" s="4" t="str">
        <f>"31"</f>
        <v>31</v>
      </c>
      <c r="H1304" s="5">
        <v>0</v>
      </c>
      <c r="I1304" s="3" t="s">
        <v>11</v>
      </c>
    </row>
    <row r="1305" customHeight="1" spans="1:9">
      <c r="A1305" s="3" t="str">
        <f t="shared" si="131"/>
        <v>0105</v>
      </c>
      <c r="B1305" s="3" t="s">
        <v>19</v>
      </c>
      <c r="C1305" s="3" t="str">
        <f>"王贺"</f>
        <v>王贺</v>
      </c>
      <c r="D1305" s="3" t="str">
        <f>"男"</f>
        <v>男</v>
      </c>
      <c r="E1305" s="3" t="str">
        <f>"2507014601"</f>
        <v>2507014601</v>
      </c>
      <c r="F1305" s="3" t="str">
        <f t="shared" ref="F1305:F1335" si="132">"46"</f>
        <v>46</v>
      </c>
      <c r="G1305" s="4" t="str">
        <f>"01"</f>
        <v>01</v>
      </c>
      <c r="H1305" s="5">
        <v>0</v>
      </c>
      <c r="I1305" s="3" t="s">
        <v>11</v>
      </c>
    </row>
    <row r="1306" customHeight="1" spans="1:9">
      <c r="A1306" s="3" t="str">
        <f t="shared" si="131"/>
        <v>0105</v>
      </c>
      <c r="B1306" s="3" t="s">
        <v>19</v>
      </c>
      <c r="C1306" s="3" t="str">
        <f>"谢欣路"</f>
        <v>谢欣路</v>
      </c>
      <c r="D1306" s="3" t="str">
        <f>"女"</f>
        <v>女</v>
      </c>
      <c r="E1306" s="3" t="str">
        <f>"2507014602"</f>
        <v>2507014602</v>
      </c>
      <c r="F1306" s="3" t="str">
        <f t="shared" si="132"/>
        <v>46</v>
      </c>
      <c r="G1306" s="4" t="str">
        <f>"02"</f>
        <v>02</v>
      </c>
      <c r="H1306" s="5">
        <v>51.7</v>
      </c>
      <c r="I1306" s="3"/>
    </row>
    <row r="1307" customHeight="1" spans="1:9">
      <c r="A1307" s="3" t="str">
        <f t="shared" si="131"/>
        <v>0105</v>
      </c>
      <c r="B1307" s="3" t="s">
        <v>19</v>
      </c>
      <c r="C1307" s="3" t="str">
        <f>"刘忠基"</f>
        <v>刘忠基</v>
      </c>
      <c r="D1307" s="3" t="str">
        <f>"男"</f>
        <v>男</v>
      </c>
      <c r="E1307" s="3" t="str">
        <f>"2507014603"</f>
        <v>2507014603</v>
      </c>
      <c r="F1307" s="3" t="str">
        <f t="shared" si="132"/>
        <v>46</v>
      </c>
      <c r="G1307" s="4" t="str">
        <f>"03"</f>
        <v>03</v>
      </c>
      <c r="H1307" s="5">
        <v>60.8</v>
      </c>
      <c r="I1307" s="3"/>
    </row>
    <row r="1308" customHeight="1" spans="1:9">
      <c r="A1308" s="3" t="str">
        <f t="shared" si="131"/>
        <v>0105</v>
      </c>
      <c r="B1308" s="3" t="s">
        <v>19</v>
      </c>
      <c r="C1308" s="3" t="str">
        <f>"李亚南"</f>
        <v>李亚南</v>
      </c>
      <c r="D1308" s="3" t="str">
        <f>"女"</f>
        <v>女</v>
      </c>
      <c r="E1308" s="3" t="str">
        <f>"2507014604"</f>
        <v>2507014604</v>
      </c>
      <c r="F1308" s="3" t="str">
        <f t="shared" si="132"/>
        <v>46</v>
      </c>
      <c r="G1308" s="4" t="str">
        <f>"04"</f>
        <v>04</v>
      </c>
      <c r="H1308" s="5">
        <v>0</v>
      </c>
      <c r="I1308" s="3" t="s">
        <v>11</v>
      </c>
    </row>
    <row r="1309" customHeight="1" spans="1:9">
      <c r="A1309" s="3" t="str">
        <f t="shared" si="131"/>
        <v>0105</v>
      </c>
      <c r="B1309" s="3" t="s">
        <v>19</v>
      </c>
      <c r="C1309" s="3" t="str">
        <f>"徐圣翔"</f>
        <v>徐圣翔</v>
      </c>
      <c r="D1309" s="3" t="str">
        <f>"男"</f>
        <v>男</v>
      </c>
      <c r="E1309" s="3" t="str">
        <f>"2507014605"</f>
        <v>2507014605</v>
      </c>
      <c r="F1309" s="3" t="str">
        <f t="shared" si="132"/>
        <v>46</v>
      </c>
      <c r="G1309" s="4" t="str">
        <f>"05"</f>
        <v>05</v>
      </c>
      <c r="H1309" s="5">
        <v>61.6</v>
      </c>
      <c r="I1309" s="3"/>
    </row>
    <row r="1310" customHeight="1" spans="1:9">
      <c r="A1310" s="3" t="str">
        <f t="shared" si="131"/>
        <v>0105</v>
      </c>
      <c r="B1310" s="3" t="s">
        <v>19</v>
      </c>
      <c r="C1310" s="3" t="str">
        <f>"陈新彤"</f>
        <v>陈新彤</v>
      </c>
      <c r="D1310" s="3" t="str">
        <f t="shared" ref="D1310:D1317" si="133">"女"</f>
        <v>女</v>
      </c>
      <c r="E1310" s="3" t="str">
        <f>"2507014606"</f>
        <v>2507014606</v>
      </c>
      <c r="F1310" s="3" t="str">
        <f t="shared" si="132"/>
        <v>46</v>
      </c>
      <c r="G1310" s="4" t="str">
        <f>"06"</f>
        <v>06</v>
      </c>
      <c r="H1310" s="5">
        <v>46.7</v>
      </c>
      <c r="I1310" s="3"/>
    </row>
    <row r="1311" customHeight="1" spans="1:9">
      <c r="A1311" s="3" t="str">
        <f t="shared" si="131"/>
        <v>0105</v>
      </c>
      <c r="B1311" s="3" t="s">
        <v>19</v>
      </c>
      <c r="C1311" s="3" t="str">
        <f>"陈好"</f>
        <v>陈好</v>
      </c>
      <c r="D1311" s="3" t="str">
        <f t="shared" si="133"/>
        <v>女</v>
      </c>
      <c r="E1311" s="3" t="str">
        <f>"2507014607"</f>
        <v>2507014607</v>
      </c>
      <c r="F1311" s="3" t="str">
        <f t="shared" si="132"/>
        <v>46</v>
      </c>
      <c r="G1311" s="4" t="str">
        <f>"07"</f>
        <v>07</v>
      </c>
      <c r="H1311" s="5">
        <v>64.7</v>
      </c>
      <c r="I1311" s="3"/>
    </row>
    <row r="1312" customHeight="1" spans="1:9">
      <c r="A1312" s="3" t="str">
        <f t="shared" si="131"/>
        <v>0105</v>
      </c>
      <c r="B1312" s="3" t="s">
        <v>19</v>
      </c>
      <c r="C1312" s="3" t="str">
        <f>"刘新月"</f>
        <v>刘新月</v>
      </c>
      <c r="D1312" s="3" t="str">
        <f t="shared" si="133"/>
        <v>女</v>
      </c>
      <c r="E1312" s="3" t="str">
        <f>"2507014608"</f>
        <v>2507014608</v>
      </c>
      <c r="F1312" s="3" t="str">
        <f t="shared" si="132"/>
        <v>46</v>
      </c>
      <c r="G1312" s="4" t="str">
        <f>"08"</f>
        <v>08</v>
      </c>
      <c r="H1312" s="5">
        <v>68.4</v>
      </c>
      <c r="I1312" s="3"/>
    </row>
    <row r="1313" customHeight="1" spans="1:9">
      <c r="A1313" s="3" t="str">
        <f t="shared" si="131"/>
        <v>0105</v>
      </c>
      <c r="B1313" s="3" t="s">
        <v>19</v>
      </c>
      <c r="C1313" s="3" t="str">
        <f>"戚筱钰"</f>
        <v>戚筱钰</v>
      </c>
      <c r="D1313" s="3" t="str">
        <f t="shared" si="133"/>
        <v>女</v>
      </c>
      <c r="E1313" s="3" t="str">
        <f>"2507014609"</f>
        <v>2507014609</v>
      </c>
      <c r="F1313" s="3" t="str">
        <f t="shared" si="132"/>
        <v>46</v>
      </c>
      <c r="G1313" s="4" t="str">
        <f>"09"</f>
        <v>09</v>
      </c>
      <c r="H1313" s="5">
        <v>51.3</v>
      </c>
      <c r="I1313" s="3"/>
    </row>
    <row r="1314" customHeight="1" spans="1:9">
      <c r="A1314" s="3" t="str">
        <f t="shared" si="131"/>
        <v>0105</v>
      </c>
      <c r="B1314" s="3" t="s">
        <v>19</v>
      </c>
      <c r="C1314" s="3" t="str">
        <f>"唐好梦"</f>
        <v>唐好梦</v>
      </c>
      <c r="D1314" s="3" t="str">
        <f t="shared" si="133"/>
        <v>女</v>
      </c>
      <c r="E1314" s="3" t="str">
        <f>"2507014610"</f>
        <v>2507014610</v>
      </c>
      <c r="F1314" s="3" t="str">
        <f t="shared" si="132"/>
        <v>46</v>
      </c>
      <c r="G1314" s="4" t="str">
        <f>"10"</f>
        <v>10</v>
      </c>
      <c r="H1314" s="5">
        <v>54.8</v>
      </c>
      <c r="I1314" s="3"/>
    </row>
    <row r="1315" customHeight="1" spans="1:9">
      <c r="A1315" s="3" t="str">
        <f t="shared" si="131"/>
        <v>0105</v>
      </c>
      <c r="B1315" s="3" t="s">
        <v>19</v>
      </c>
      <c r="C1315" s="3" t="str">
        <f>"胡秋羽"</f>
        <v>胡秋羽</v>
      </c>
      <c r="D1315" s="3" t="str">
        <f t="shared" si="133"/>
        <v>女</v>
      </c>
      <c r="E1315" s="3" t="str">
        <f>"2507014611"</f>
        <v>2507014611</v>
      </c>
      <c r="F1315" s="3" t="str">
        <f t="shared" si="132"/>
        <v>46</v>
      </c>
      <c r="G1315" s="4" t="str">
        <f>"11"</f>
        <v>11</v>
      </c>
      <c r="H1315" s="5">
        <v>64.7</v>
      </c>
      <c r="I1315" s="3"/>
    </row>
    <row r="1316" customHeight="1" spans="1:9">
      <c r="A1316" s="3" t="str">
        <f t="shared" si="131"/>
        <v>0105</v>
      </c>
      <c r="B1316" s="3" t="s">
        <v>19</v>
      </c>
      <c r="C1316" s="3" t="str">
        <f>"马佟"</f>
        <v>马佟</v>
      </c>
      <c r="D1316" s="3" t="str">
        <f t="shared" si="133"/>
        <v>女</v>
      </c>
      <c r="E1316" s="3" t="str">
        <f>"2507014612"</f>
        <v>2507014612</v>
      </c>
      <c r="F1316" s="3" t="str">
        <f t="shared" si="132"/>
        <v>46</v>
      </c>
      <c r="G1316" s="4" t="str">
        <f>"12"</f>
        <v>12</v>
      </c>
      <c r="H1316" s="5">
        <v>58.4</v>
      </c>
      <c r="I1316" s="3"/>
    </row>
    <row r="1317" customHeight="1" spans="1:9">
      <c r="A1317" s="3" t="str">
        <f t="shared" si="131"/>
        <v>0105</v>
      </c>
      <c r="B1317" s="3" t="s">
        <v>19</v>
      </c>
      <c r="C1317" s="3" t="str">
        <f>"孙宇婷"</f>
        <v>孙宇婷</v>
      </c>
      <c r="D1317" s="3" t="str">
        <f t="shared" si="133"/>
        <v>女</v>
      </c>
      <c r="E1317" s="3" t="str">
        <f>"2507014613"</f>
        <v>2507014613</v>
      </c>
      <c r="F1317" s="3" t="str">
        <f t="shared" si="132"/>
        <v>46</v>
      </c>
      <c r="G1317" s="4" t="str">
        <f>"13"</f>
        <v>13</v>
      </c>
      <c r="H1317" s="5">
        <v>0</v>
      </c>
      <c r="I1317" s="3" t="s">
        <v>11</v>
      </c>
    </row>
    <row r="1318" customHeight="1" spans="1:9">
      <c r="A1318" s="3" t="str">
        <f t="shared" si="131"/>
        <v>0105</v>
      </c>
      <c r="B1318" s="3" t="s">
        <v>19</v>
      </c>
      <c r="C1318" s="3" t="str">
        <f>"宁浩然"</f>
        <v>宁浩然</v>
      </c>
      <c r="D1318" s="3" t="str">
        <f>"男"</f>
        <v>男</v>
      </c>
      <c r="E1318" s="3" t="str">
        <f>"2507014614"</f>
        <v>2507014614</v>
      </c>
      <c r="F1318" s="3" t="str">
        <f t="shared" si="132"/>
        <v>46</v>
      </c>
      <c r="G1318" s="4" t="str">
        <f>"14"</f>
        <v>14</v>
      </c>
      <c r="H1318" s="5">
        <v>45.9</v>
      </c>
      <c r="I1318" s="3"/>
    </row>
    <row r="1319" customHeight="1" spans="1:9">
      <c r="A1319" s="3" t="str">
        <f t="shared" si="131"/>
        <v>0105</v>
      </c>
      <c r="B1319" s="3" t="s">
        <v>19</v>
      </c>
      <c r="C1319" s="3" t="str">
        <f>"黄斌"</f>
        <v>黄斌</v>
      </c>
      <c r="D1319" s="3" t="str">
        <f>"男"</f>
        <v>男</v>
      </c>
      <c r="E1319" s="3" t="str">
        <f>"2507014615"</f>
        <v>2507014615</v>
      </c>
      <c r="F1319" s="3" t="str">
        <f t="shared" si="132"/>
        <v>46</v>
      </c>
      <c r="G1319" s="4" t="str">
        <f>"15"</f>
        <v>15</v>
      </c>
      <c r="H1319" s="5">
        <v>0</v>
      </c>
      <c r="I1319" s="3" t="s">
        <v>11</v>
      </c>
    </row>
    <row r="1320" customHeight="1" spans="1:9">
      <c r="A1320" s="3" t="str">
        <f t="shared" si="131"/>
        <v>0105</v>
      </c>
      <c r="B1320" s="3" t="s">
        <v>19</v>
      </c>
      <c r="C1320" s="3" t="str">
        <f>"张净敏"</f>
        <v>张净敏</v>
      </c>
      <c r="D1320" s="3" t="str">
        <f t="shared" ref="D1320:D1325" si="134">"女"</f>
        <v>女</v>
      </c>
      <c r="E1320" s="3" t="str">
        <f>"2507014616"</f>
        <v>2507014616</v>
      </c>
      <c r="F1320" s="3" t="str">
        <f t="shared" si="132"/>
        <v>46</v>
      </c>
      <c r="G1320" s="4" t="str">
        <f>"16"</f>
        <v>16</v>
      </c>
      <c r="H1320" s="5">
        <v>58.4</v>
      </c>
      <c r="I1320" s="3"/>
    </row>
    <row r="1321" customHeight="1" spans="1:9">
      <c r="A1321" s="3" t="str">
        <f t="shared" si="131"/>
        <v>0105</v>
      </c>
      <c r="B1321" s="3" t="s">
        <v>19</v>
      </c>
      <c r="C1321" s="3" t="str">
        <f>"刘俊男"</f>
        <v>刘俊男</v>
      </c>
      <c r="D1321" s="3" t="str">
        <f t="shared" si="134"/>
        <v>女</v>
      </c>
      <c r="E1321" s="3" t="str">
        <f>"2507014617"</f>
        <v>2507014617</v>
      </c>
      <c r="F1321" s="3" t="str">
        <f t="shared" si="132"/>
        <v>46</v>
      </c>
      <c r="G1321" s="4" t="str">
        <f>"17"</f>
        <v>17</v>
      </c>
      <c r="H1321" s="5">
        <v>0</v>
      </c>
      <c r="I1321" s="3" t="s">
        <v>11</v>
      </c>
    </row>
    <row r="1322" customHeight="1" spans="1:9">
      <c r="A1322" s="3" t="str">
        <f t="shared" si="131"/>
        <v>0105</v>
      </c>
      <c r="B1322" s="3" t="s">
        <v>19</v>
      </c>
      <c r="C1322" s="3" t="str">
        <f>"杨雯琦"</f>
        <v>杨雯琦</v>
      </c>
      <c r="D1322" s="3" t="str">
        <f t="shared" si="134"/>
        <v>女</v>
      </c>
      <c r="E1322" s="3" t="str">
        <f>"2507014618"</f>
        <v>2507014618</v>
      </c>
      <c r="F1322" s="3" t="str">
        <f t="shared" si="132"/>
        <v>46</v>
      </c>
      <c r="G1322" s="4" t="str">
        <f>"18"</f>
        <v>18</v>
      </c>
      <c r="H1322" s="5">
        <v>0</v>
      </c>
      <c r="I1322" s="3" t="s">
        <v>11</v>
      </c>
    </row>
    <row r="1323" customHeight="1" spans="1:9">
      <c r="A1323" s="3" t="str">
        <f t="shared" si="131"/>
        <v>0105</v>
      </c>
      <c r="B1323" s="3" t="s">
        <v>19</v>
      </c>
      <c r="C1323" s="3" t="str">
        <f>"谢孟涵"</f>
        <v>谢孟涵</v>
      </c>
      <c r="D1323" s="3" t="str">
        <f t="shared" si="134"/>
        <v>女</v>
      </c>
      <c r="E1323" s="3" t="str">
        <f>"2507014619"</f>
        <v>2507014619</v>
      </c>
      <c r="F1323" s="3" t="str">
        <f t="shared" si="132"/>
        <v>46</v>
      </c>
      <c r="G1323" s="4" t="str">
        <f>"19"</f>
        <v>19</v>
      </c>
      <c r="H1323" s="5">
        <v>62.7</v>
      </c>
      <c r="I1323" s="3"/>
    </row>
    <row r="1324" customHeight="1" spans="1:9">
      <c r="A1324" s="3" t="str">
        <f t="shared" si="131"/>
        <v>0105</v>
      </c>
      <c r="B1324" s="3" t="s">
        <v>19</v>
      </c>
      <c r="C1324" s="3" t="str">
        <f>"孙璨"</f>
        <v>孙璨</v>
      </c>
      <c r="D1324" s="3" t="str">
        <f t="shared" si="134"/>
        <v>女</v>
      </c>
      <c r="E1324" s="3" t="str">
        <f>"2507014620"</f>
        <v>2507014620</v>
      </c>
      <c r="F1324" s="3" t="str">
        <f t="shared" si="132"/>
        <v>46</v>
      </c>
      <c r="G1324" s="4" t="str">
        <f>"20"</f>
        <v>20</v>
      </c>
      <c r="H1324" s="5">
        <v>0</v>
      </c>
      <c r="I1324" s="3" t="s">
        <v>11</v>
      </c>
    </row>
    <row r="1325" customHeight="1" spans="1:9">
      <c r="A1325" s="3" t="str">
        <f t="shared" si="131"/>
        <v>0105</v>
      </c>
      <c r="B1325" s="3" t="s">
        <v>19</v>
      </c>
      <c r="C1325" s="3" t="str">
        <f>"温淑涵"</f>
        <v>温淑涵</v>
      </c>
      <c r="D1325" s="3" t="str">
        <f t="shared" si="134"/>
        <v>女</v>
      </c>
      <c r="E1325" s="3" t="str">
        <f>"2507014621"</f>
        <v>2507014621</v>
      </c>
      <c r="F1325" s="3" t="str">
        <f t="shared" si="132"/>
        <v>46</v>
      </c>
      <c r="G1325" s="4" t="str">
        <f>"21"</f>
        <v>21</v>
      </c>
      <c r="H1325" s="5">
        <v>69.4</v>
      </c>
      <c r="I1325" s="3"/>
    </row>
    <row r="1326" customHeight="1" spans="1:9">
      <c r="A1326" s="3" t="str">
        <f t="shared" si="131"/>
        <v>0105</v>
      </c>
      <c r="B1326" s="3" t="s">
        <v>19</v>
      </c>
      <c r="C1326" s="3" t="str">
        <f>"陈远畅"</f>
        <v>陈远畅</v>
      </c>
      <c r="D1326" s="3" t="str">
        <f>"男"</f>
        <v>男</v>
      </c>
      <c r="E1326" s="3" t="str">
        <f>"2507014622"</f>
        <v>2507014622</v>
      </c>
      <c r="F1326" s="3" t="str">
        <f t="shared" si="132"/>
        <v>46</v>
      </c>
      <c r="G1326" s="4" t="str">
        <f>"22"</f>
        <v>22</v>
      </c>
      <c r="H1326" s="5">
        <v>74.8</v>
      </c>
      <c r="I1326" s="3"/>
    </row>
    <row r="1327" customHeight="1" spans="1:9">
      <c r="A1327" s="3" t="str">
        <f t="shared" si="131"/>
        <v>0105</v>
      </c>
      <c r="B1327" s="3" t="s">
        <v>19</v>
      </c>
      <c r="C1327" s="3" t="str">
        <f>"王瑜 "</f>
        <v>王瑜 </v>
      </c>
      <c r="D1327" s="3" t="str">
        <f>"女"</f>
        <v>女</v>
      </c>
      <c r="E1327" s="3" t="str">
        <f>"2507014623"</f>
        <v>2507014623</v>
      </c>
      <c r="F1327" s="3" t="str">
        <f t="shared" si="132"/>
        <v>46</v>
      </c>
      <c r="G1327" s="4" t="str">
        <f>"23"</f>
        <v>23</v>
      </c>
      <c r="H1327" s="5">
        <v>0</v>
      </c>
      <c r="I1327" s="3" t="s">
        <v>11</v>
      </c>
    </row>
    <row r="1328" customHeight="1" spans="1:9">
      <c r="A1328" s="3" t="str">
        <f t="shared" si="131"/>
        <v>0105</v>
      </c>
      <c r="B1328" s="3" t="s">
        <v>19</v>
      </c>
      <c r="C1328" s="3" t="str">
        <f>"赵涛"</f>
        <v>赵涛</v>
      </c>
      <c r="D1328" s="3" t="str">
        <f>"女"</f>
        <v>女</v>
      </c>
      <c r="E1328" s="3" t="str">
        <f>"2507014624"</f>
        <v>2507014624</v>
      </c>
      <c r="F1328" s="3" t="str">
        <f t="shared" si="132"/>
        <v>46</v>
      </c>
      <c r="G1328" s="4" t="str">
        <f>"24"</f>
        <v>24</v>
      </c>
      <c r="H1328" s="5">
        <v>59.7</v>
      </c>
      <c r="I1328" s="3"/>
    </row>
    <row r="1329" customHeight="1" spans="1:9">
      <c r="A1329" s="3" t="str">
        <f t="shared" si="131"/>
        <v>0105</v>
      </c>
      <c r="B1329" s="3" t="s">
        <v>19</v>
      </c>
      <c r="C1329" s="3" t="str">
        <f>"宗焕矗"</f>
        <v>宗焕矗</v>
      </c>
      <c r="D1329" s="3" t="str">
        <f>"男"</f>
        <v>男</v>
      </c>
      <c r="E1329" s="3" t="str">
        <f>"2507014625"</f>
        <v>2507014625</v>
      </c>
      <c r="F1329" s="3" t="str">
        <f t="shared" si="132"/>
        <v>46</v>
      </c>
      <c r="G1329" s="4" t="str">
        <f>"25"</f>
        <v>25</v>
      </c>
      <c r="H1329" s="5">
        <v>0</v>
      </c>
      <c r="I1329" s="3" t="s">
        <v>11</v>
      </c>
    </row>
    <row r="1330" customHeight="1" spans="1:9">
      <c r="A1330" s="3" t="str">
        <f t="shared" si="131"/>
        <v>0105</v>
      </c>
      <c r="B1330" s="3" t="s">
        <v>19</v>
      </c>
      <c r="C1330" s="3" t="str">
        <f>"吴荣身"</f>
        <v>吴荣身</v>
      </c>
      <c r="D1330" s="3" t="str">
        <f>"女"</f>
        <v>女</v>
      </c>
      <c r="E1330" s="3" t="str">
        <f>"2507014626"</f>
        <v>2507014626</v>
      </c>
      <c r="F1330" s="3" t="str">
        <f t="shared" si="132"/>
        <v>46</v>
      </c>
      <c r="G1330" s="4" t="str">
        <f>"26"</f>
        <v>26</v>
      </c>
      <c r="H1330" s="5">
        <v>66.8</v>
      </c>
      <c r="I1330" s="3"/>
    </row>
    <row r="1331" customHeight="1" spans="1:9">
      <c r="A1331" s="3" t="str">
        <f t="shared" si="131"/>
        <v>0105</v>
      </c>
      <c r="B1331" s="3" t="s">
        <v>19</v>
      </c>
      <c r="C1331" s="3" t="str">
        <f>"杨惠敏"</f>
        <v>杨惠敏</v>
      </c>
      <c r="D1331" s="3" t="str">
        <f>"女"</f>
        <v>女</v>
      </c>
      <c r="E1331" s="3" t="str">
        <f>"2507014627"</f>
        <v>2507014627</v>
      </c>
      <c r="F1331" s="3" t="str">
        <f t="shared" si="132"/>
        <v>46</v>
      </c>
      <c r="G1331" s="4" t="str">
        <f>"27"</f>
        <v>27</v>
      </c>
      <c r="H1331" s="5">
        <v>70.2</v>
      </c>
      <c r="I1331" s="3"/>
    </row>
    <row r="1332" customHeight="1" spans="1:9">
      <c r="A1332" s="3" t="str">
        <f t="shared" si="131"/>
        <v>0105</v>
      </c>
      <c r="B1332" s="3" t="s">
        <v>19</v>
      </c>
      <c r="C1332" s="3" t="str">
        <f>"张咏琪"</f>
        <v>张咏琪</v>
      </c>
      <c r="D1332" s="3" t="str">
        <f>"女"</f>
        <v>女</v>
      </c>
      <c r="E1332" s="3" t="str">
        <f>"2507014628"</f>
        <v>2507014628</v>
      </c>
      <c r="F1332" s="3" t="str">
        <f t="shared" si="132"/>
        <v>46</v>
      </c>
      <c r="G1332" s="4" t="str">
        <f>"28"</f>
        <v>28</v>
      </c>
      <c r="H1332" s="5">
        <v>0</v>
      </c>
      <c r="I1332" s="3" t="s">
        <v>11</v>
      </c>
    </row>
    <row r="1333" customHeight="1" spans="1:9">
      <c r="A1333" s="3" t="str">
        <f t="shared" si="131"/>
        <v>0105</v>
      </c>
      <c r="B1333" s="3" t="s">
        <v>19</v>
      </c>
      <c r="C1333" s="3" t="str">
        <f>"毕波超"</f>
        <v>毕波超</v>
      </c>
      <c r="D1333" s="3" t="str">
        <f>"男"</f>
        <v>男</v>
      </c>
      <c r="E1333" s="3" t="str">
        <f>"2507014629"</f>
        <v>2507014629</v>
      </c>
      <c r="F1333" s="3" t="str">
        <f t="shared" si="132"/>
        <v>46</v>
      </c>
      <c r="G1333" s="4" t="str">
        <f>"29"</f>
        <v>29</v>
      </c>
      <c r="H1333" s="5">
        <v>0</v>
      </c>
      <c r="I1333" s="3" t="s">
        <v>11</v>
      </c>
    </row>
    <row r="1334" customHeight="1" spans="1:9">
      <c r="A1334" s="3" t="str">
        <f t="shared" si="131"/>
        <v>0105</v>
      </c>
      <c r="B1334" s="3" t="s">
        <v>19</v>
      </c>
      <c r="C1334" s="3" t="str">
        <f>"丁嘉敏"</f>
        <v>丁嘉敏</v>
      </c>
      <c r="D1334" s="3" t="str">
        <f>"女"</f>
        <v>女</v>
      </c>
      <c r="E1334" s="3" t="str">
        <f>"2507014630"</f>
        <v>2507014630</v>
      </c>
      <c r="F1334" s="3" t="str">
        <f t="shared" si="132"/>
        <v>46</v>
      </c>
      <c r="G1334" s="4" t="str">
        <f>"30"</f>
        <v>30</v>
      </c>
      <c r="H1334" s="5">
        <v>0</v>
      </c>
      <c r="I1334" s="3" t="s">
        <v>11</v>
      </c>
    </row>
    <row r="1335" customHeight="1" spans="1:9">
      <c r="A1335" s="3" t="str">
        <f t="shared" si="131"/>
        <v>0105</v>
      </c>
      <c r="B1335" s="3" t="s">
        <v>19</v>
      </c>
      <c r="C1335" s="3" t="str">
        <f>"张明媚"</f>
        <v>张明媚</v>
      </c>
      <c r="D1335" s="3" t="str">
        <f>"女"</f>
        <v>女</v>
      </c>
      <c r="E1335" s="3" t="str">
        <f>"2507014631"</f>
        <v>2507014631</v>
      </c>
      <c r="F1335" s="3" t="str">
        <f t="shared" si="132"/>
        <v>46</v>
      </c>
      <c r="G1335" s="4" t="str">
        <f>"31"</f>
        <v>31</v>
      </c>
      <c r="H1335" s="5">
        <v>0</v>
      </c>
      <c r="I1335" s="3" t="s">
        <v>11</v>
      </c>
    </row>
    <row r="1336" customHeight="1" spans="1:9">
      <c r="A1336" s="3" t="str">
        <f t="shared" si="131"/>
        <v>0105</v>
      </c>
      <c r="B1336" s="3" t="s">
        <v>19</v>
      </c>
      <c r="C1336" s="3" t="str">
        <f>"邵政"</f>
        <v>邵政</v>
      </c>
      <c r="D1336" s="3" t="str">
        <f>"男"</f>
        <v>男</v>
      </c>
      <c r="E1336" s="3" t="str">
        <f>"2507014701"</f>
        <v>2507014701</v>
      </c>
      <c r="F1336" s="3" t="str">
        <f t="shared" ref="F1336:F1366" si="135">"47"</f>
        <v>47</v>
      </c>
      <c r="G1336" s="4" t="str">
        <f>"01"</f>
        <v>01</v>
      </c>
      <c r="H1336" s="5">
        <v>65.3</v>
      </c>
      <c r="I1336" s="3"/>
    </row>
    <row r="1337" customHeight="1" spans="1:9">
      <c r="A1337" s="3" t="str">
        <f t="shared" si="131"/>
        <v>0105</v>
      </c>
      <c r="B1337" s="3" t="s">
        <v>19</v>
      </c>
      <c r="C1337" s="3" t="str">
        <f>"陈泳屹"</f>
        <v>陈泳屹</v>
      </c>
      <c r="D1337" s="3" t="str">
        <f>"男"</f>
        <v>男</v>
      </c>
      <c r="E1337" s="3" t="str">
        <f>"2507014702"</f>
        <v>2507014702</v>
      </c>
      <c r="F1337" s="3" t="str">
        <f t="shared" si="135"/>
        <v>47</v>
      </c>
      <c r="G1337" s="4" t="str">
        <f>"02"</f>
        <v>02</v>
      </c>
      <c r="H1337" s="5">
        <v>59.8</v>
      </c>
      <c r="I1337" s="3"/>
    </row>
    <row r="1338" customHeight="1" spans="1:9">
      <c r="A1338" s="3" t="str">
        <f t="shared" si="131"/>
        <v>0105</v>
      </c>
      <c r="B1338" s="3" t="s">
        <v>19</v>
      </c>
      <c r="C1338" s="3" t="str">
        <f>"朱悦"</f>
        <v>朱悦</v>
      </c>
      <c r="D1338" s="3" t="str">
        <f>"女"</f>
        <v>女</v>
      </c>
      <c r="E1338" s="3" t="str">
        <f>"2507014703"</f>
        <v>2507014703</v>
      </c>
      <c r="F1338" s="3" t="str">
        <f t="shared" si="135"/>
        <v>47</v>
      </c>
      <c r="G1338" s="4" t="str">
        <f>"03"</f>
        <v>03</v>
      </c>
      <c r="H1338" s="5">
        <v>60.8</v>
      </c>
      <c r="I1338" s="3"/>
    </row>
    <row r="1339" customHeight="1" spans="1:9">
      <c r="A1339" s="3" t="str">
        <f t="shared" si="131"/>
        <v>0105</v>
      </c>
      <c r="B1339" s="3" t="s">
        <v>19</v>
      </c>
      <c r="C1339" s="3" t="str">
        <f>"姜禹潇"</f>
        <v>姜禹潇</v>
      </c>
      <c r="D1339" s="3" t="str">
        <f>"男"</f>
        <v>男</v>
      </c>
      <c r="E1339" s="3" t="str">
        <f>"2507014704"</f>
        <v>2507014704</v>
      </c>
      <c r="F1339" s="3" t="str">
        <f t="shared" si="135"/>
        <v>47</v>
      </c>
      <c r="G1339" s="4" t="str">
        <f>"04"</f>
        <v>04</v>
      </c>
      <c r="H1339" s="5">
        <v>63.8</v>
      </c>
      <c r="I1339" s="3"/>
    </row>
    <row r="1340" customHeight="1" spans="1:9">
      <c r="A1340" s="3" t="str">
        <f t="shared" si="131"/>
        <v>0105</v>
      </c>
      <c r="B1340" s="3" t="s">
        <v>19</v>
      </c>
      <c r="C1340" s="3" t="str">
        <f>"赵耘颢"</f>
        <v>赵耘颢</v>
      </c>
      <c r="D1340" s="3" t="str">
        <f>"女"</f>
        <v>女</v>
      </c>
      <c r="E1340" s="3" t="str">
        <f>"2507014705"</f>
        <v>2507014705</v>
      </c>
      <c r="F1340" s="3" t="str">
        <f t="shared" si="135"/>
        <v>47</v>
      </c>
      <c r="G1340" s="4" t="str">
        <f>"05"</f>
        <v>05</v>
      </c>
      <c r="H1340" s="5">
        <v>0</v>
      </c>
      <c r="I1340" s="3" t="s">
        <v>11</v>
      </c>
    </row>
    <row r="1341" customHeight="1" spans="1:9">
      <c r="A1341" s="3" t="str">
        <f t="shared" si="131"/>
        <v>0105</v>
      </c>
      <c r="B1341" s="3" t="s">
        <v>19</v>
      </c>
      <c r="C1341" s="3" t="str">
        <f>"宗雯晓"</f>
        <v>宗雯晓</v>
      </c>
      <c r="D1341" s="3" t="str">
        <f>"女"</f>
        <v>女</v>
      </c>
      <c r="E1341" s="3" t="str">
        <f>"2507014706"</f>
        <v>2507014706</v>
      </c>
      <c r="F1341" s="3" t="str">
        <f t="shared" si="135"/>
        <v>47</v>
      </c>
      <c r="G1341" s="4" t="str">
        <f>"06"</f>
        <v>06</v>
      </c>
      <c r="H1341" s="5">
        <v>0</v>
      </c>
      <c r="I1341" s="3" t="s">
        <v>11</v>
      </c>
    </row>
    <row r="1342" customHeight="1" spans="1:9">
      <c r="A1342" s="3" t="str">
        <f t="shared" si="131"/>
        <v>0105</v>
      </c>
      <c r="B1342" s="3" t="s">
        <v>19</v>
      </c>
      <c r="C1342" s="3" t="str">
        <f>"王昕"</f>
        <v>王昕</v>
      </c>
      <c r="D1342" s="3" t="str">
        <f>"女"</f>
        <v>女</v>
      </c>
      <c r="E1342" s="3" t="str">
        <f>"2507014707"</f>
        <v>2507014707</v>
      </c>
      <c r="F1342" s="3" t="str">
        <f t="shared" si="135"/>
        <v>47</v>
      </c>
      <c r="G1342" s="4" t="str">
        <f>"07"</f>
        <v>07</v>
      </c>
      <c r="H1342" s="5">
        <v>62.9</v>
      </c>
      <c r="I1342" s="3"/>
    </row>
    <row r="1343" customHeight="1" spans="1:9">
      <c r="A1343" s="3" t="str">
        <f t="shared" si="131"/>
        <v>0105</v>
      </c>
      <c r="B1343" s="3" t="s">
        <v>19</v>
      </c>
      <c r="C1343" s="3" t="str">
        <f>"肖鑫"</f>
        <v>肖鑫</v>
      </c>
      <c r="D1343" s="3" t="str">
        <f>"男"</f>
        <v>男</v>
      </c>
      <c r="E1343" s="3" t="str">
        <f>"2507014708"</f>
        <v>2507014708</v>
      </c>
      <c r="F1343" s="3" t="str">
        <f t="shared" si="135"/>
        <v>47</v>
      </c>
      <c r="G1343" s="4" t="str">
        <f>"08"</f>
        <v>08</v>
      </c>
      <c r="H1343" s="5">
        <v>27.4</v>
      </c>
      <c r="I1343" s="3"/>
    </row>
    <row r="1344" customHeight="1" spans="1:9">
      <c r="A1344" s="3" t="str">
        <f t="shared" si="131"/>
        <v>0105</v>
      </c>
      <c r="B1344" s="3" t="s">
        <v>19</v>
      </c>
      <c r="C1344" s="3" t="str">
        <f>"许洪强"</f>
        <v>许洪强</v>
      </c>
      <c r="D1344" s="3" t="str">
        <f>"男"</f>
        <v>男</v>
      </c>
      <c r="E1344" s="3" t="str">
        <f>"2507014709"</f>
        <v>2507014709</v>
      </c>
      <c r="F1344" s="3" t="str">
        <f t="shared" si="135"/>
        <v>47</v>
      </c>
      <c r="G1344" s="4" t="str">
        <f>"09"</f>
        <v>09</v>
      </c>
      <c r="H1344" s="5">
        <v>63.8</v>
      </c>
      <c r="I1344" s="3"/>
    </row>
    <row r="1345" customHeight="1" spans="1:9">
      <c r="A1345" s="3" t="str">
        <f t="shared" si="131"/>
        <v>0105</v>
      </c>
      <c r="B1345" s="3" t="s">
        <v>19</v>
      </c>
      <c r="C1345" s="3" t="str">
        <f>"翟淑欣"</f>
        <v>翟淑欣</v>
      </c>
      <c r="D1345" s="3" t="str">
        <f>"女"</f>
        <v>女</v>
      </c>
      <c r="E1345" s="3" t="str">
        <f>"2507014710"</f>
        <v>2507014710</v>
      </c>
      <c r="F1345" s="3" t="str">
        <f t="shared" si="135"/>
        <v>47</v>
      </c>
      <c r="G1345" s="4" t="str">
        <f>"10"</f>
        <v>10</v>
      </c>
      <c r="H1345" s="5">
        <v>45.3</v>
      </c>
      <c r="I1345" s="3"/>
    </row>
    <row r="1346" customHeight="1" spans="1:9">
      <c r="A1346" s="3" t="str">
        <f t="shared" si="131"/>
        <v>0105</v>
      </c>
      <c r="B1346" s="3" t="s">
        <v>19</v>
      </c>
      <c r="C1346" s="3" t="str">
        <f>"孙玺迪"</f>
        <v>孙玺迪</v>
      </c>
      <c r="D1346" s="3" t="str">
        <f>"女"</f>
        <v>女</v>
      </c>
      <c r="E1346" s="3" t="str">
        <f>"2507014711"</f>
        <v>2507014711</v>
      </c>
      <c r="F1346" s="3" t="str">
        <f t="shared" si="135"/>
        <v>47</v>
      </c>
      <c r="G1346" s="4" t="str">
        <f>"11"</f>
        <v>11</v>
      </c>
      <c r="H1346" s="5">
        <v>48.9</v>
      </c>
      <c r="I1346" s="3"/>
    </row>
    <row r="1347" customHeight="1" spans="1:9">
      <c r="A1347" s="3" t="str">
        <f t="shared" si="131"/>
        <v>0105</v>
      </c>
      <c r="B1347" s="3" t="s">
        <v>19</v>
      </c>
      <c r="C1347" s="3" t="str">
        <f>"路羽鑫"</f>
        <v>路羽鑫</v>
      </c>
      <c r="D1347" s="3" t="str">
        <f>"女"</f>
        <v>女</v>
      </c>
      <c r="E1347" s="3" t="str">
        <f>"2507014712"</f>
        <v>2507014712</v>
      </c>
      <c r="F1347" s="3" t="str">
        <f t="shared" si="135"/>
        <v>47</v>
      </c>
      <c r="G1347" s="4" t="str">
        <f>"12"</f>
        <v>12</v>
      </c>
      <c r="H1347" s="5">
        <v>46.1</v>
      </c>
      <c r="I1347" s="3"/>
    </row>
    <row r="1348" customHeight="1" spans="1:9">
      <c r="A1348" s="3" t="str">
        <f t="shared" si="131"/>
        <v>0105</v>
      </c>
      <c r="B1348" s="3" t="s">
        <v>19</v>
      </c>
      <c r="C1348" s="3" t="str">
        <f>"翟羽佳"</f>
        <v>翟羽佳</v>
      </c>
      <c r="D1348" s="3" t="str">
        <f>"女"</f>
        <v>女</v>
      </c>
      <c r="E1348" s="3" t="str">
        <f>"2507014713"</f>
        <v>2507014713</v>
      </c>
      <c r="F1348" s="3" t="str">
        <f t="shared" si="135"/>
        <v>47</v>
      </c>
      <c r="G1348" s="4" t="str">
        <f>"13"</f>
        <v>13</v>
      </c>
      <c r="H1348" s="5">
        <v>0</v>
      </c>
      <c r="I1348" s="3" t="s">
        <v>11</v>
      </c>
    </row>
    <row r="1349" customHeight="1" spans="1:9">
      <c r="A1349" s="3" t="str">
        <f t="shared" si="131"/>
        <v>0105</v>
      </c>
      <c r="B1349" s="3" t="s">
        <v>19</v>
      </c>
      <c r="C1349" s="3" t="str">
        <f>"张佳豪"</f>
        <v>张佳豪</v>
      </c>
      <c r="D1349" s="3" t="str">
        <f>"男"</f>
        <v>男</v>
      </c>
      <c r="E1349" s="3" t="str">
        <f>"2507014714"</f>
        <v>2507014714</v>
      </c>
      <c r="F1349" s="3" t="str">
        <f t="shared" si="135"/>
        <v>47</v>
      </c>
      <c r="G1349" s="4" t="str">
        <f>"14"</f>
        <v>14</v>
      </c>
      <c r="H1349" s="5">
        <v>57.5</v>
      </c>
      <c r="I1349" s="3"/>
    </row>
    <row r="1350" customHeight="1" spans="1:9">
      <c r="A1350" s="3" t="str">
        <f t="shared" si="131"/>
        <v>0105</v>
      </c>
      <c r="B1350" s="3" t="s">
        <v>19</v>
      </c>
      <c r="C1350" s="3" t="str">
        <f>"钱妤"</f>
        <v>钱妤</v>
      </c>
      <c r="D1350" s="3" t="str">
        <f t="shared" ref="D1350:D1360" si="136">"女"</f>
        <v>女</v>
      </c>
      <c r="E1350" s="3" t="str">
        <f>"2507014715"</f>
        <v>2507014715</v>
      </c>
      <c r="F1350" s="3" t="str">
        <f t="shared" si="135"/>
        <v>47</v>
      </c>
      <c r="G1350" s="4" t="str">
        <f>"15"</f>
        <v>15</v>
      </c>
      <c r="H1350" s="5">
        <v>0</v>
      </c>
      <c r="I1350" s="3" t="s">
        <v>11</v>
      </c>
    </row>
    <row r="1351" customHeight="1" spans="1:9">
      <c r="A1351" s="3" t="str">
        <f t="shared" si="131"/>
        <v>0105</v>
      </c>
      <c r="B1351" s="3" t="s">
        <v>19</v>
      </c>
      <c r="C1351" s="3" t="str">
        <f>"倪华奥"</f>
        <v>倪华奥</v>
      </c>
      <c r="D1351" s="3" t="str">
        <f t="shared" si="136"/>
        <v>女</v>
      </c>
      <c r="E1351" s="3" t="str">
        <f>"2507014716"</f>
        <v>2507014716</v>
      </c>
      <c r="F1351" s="3" t="str">
        <f t="shared" si="135"/>
        <v>47</v>
      </c>
      <c r="G1351" s="4" t="str">
        <f>"16"</f>
        <v>16</v>
      </c>
      <c r="H1351" s="5">
        <v>0</v>
      </c>
      <c r="I1351" s="3" t="s">
        <v>11</v>
      </c>
    </row>
    <row r="1352" customHeight="1" spans="1:9">
      <c r="A1352" s="3" t="str">
        <f t="shared" si="131"/>
        <v>0105</v>
      </c>
      <c r="B1352" s="3" t="s">
        <v>19</v>
      </c>
      <c r="C1352" s="3" t="str">
        <f>"李盈盈"</f>
        <v>李盈盈</v>
      </c>
      <c r="D1352" s="3" t="str">
        <f t="shared" si="136"/>
        <v>女</v>
      </c>
      <c r="E1352" s="3" t="str">
        <f>"2507014717"</f>
        <v>2507014717</v>
      </c>
      <c r="F1352" s="3" t="str">
        <f t="shared" si="135"/>
        <v>47</v>
      </c>
      <c r="G1352" s="4" t="str">
        <f>"17"</f>
        <v>17</v>
      </c>
      <c r="H1352" s="5">
        <v>64.6</v>
      </c>
      <c r="I1352" s="3"/>
    </row>
    <row r="1353" customHeight="1" spans="1:9">
      <c r="A1353" s="3" t="str">
        <f t="shared" ref="A1353:A1366" si="137">"0105"</f>
        <v>0105</v>
      </c>
      <c r="B1353" s="3" t="s">
        <v>19</v>
      </c>
      <c r="C1353" s="3" t="str">
        <f>"邓钧心"</f>
        <v>邓钧心</v>
      </c>
      <c r="D1353" s="3" t="str">
        <f t="shared" si="136"/>
        <v>女</v>
      </c>
      <c r="E1353" s="3" t="str">
        <f>"2507014718"</f>
        <v>2507014718</v>
      </c>
      <c r="F1353" s="3" t="str">
        <f t="shared" si="135"/>
        <v>47</v>
      </c>
      <c r="G1353" s="4" t="str">
        <f>"18"</f>
        <v>18</v>
      </c>
      <c r="H1353" s="5">
        <v>41.9</v>
      </c>
      <c r="I1353" s="3"/>
    </row>
    <row r="1354" customHeight="1" spans="1:9">
      <c r="A1354" s="3" t="str">
        <f t="shared" si="137"/>
        <v>0105</v>
      </c>
      <c r="B1354" s="3" t="s">
        <v>19</v>
      </c>
      <c r="C1354" s="3" t="str">
        <f>"陈丹阳"</f>
        <v>陈丹阳</v>
      </c>
      <c r="D1354" s="3" t="str">
        <f t="shared" si="136"/>
        <v>女</v>
      </c>
      <c r="E1354" s="3" t="str">
        <f>"2507014719"</f>
        <v>2507014719</v>
      </c>
      <c r="F1354" s="3" t="str">
        <f t="shared" si="135"/>
        <v>47</v>
      </c>
      <c r="G1354" s="4" t="str">
        <f>"19"</f>
        <v>19</v>
      </c>
      <c r="H1354" s="5">
        <v>41.5</v>
      </c>
      <c r="I1354" s="3"/>
    </row>
    <row r="1355" customHeight="1" spans="1:9">
      <c r="A1355" s="3" t="str">
        <f t="shared" si="137"/>
        <v>0105</v>
      </c>
      <c r="B1355" s="3" t="s">
        <v>19</v>
      </c>
      <c r="C1355" s="3" t="str">
        <f>"王娇"</f>
        <v>王娇</v>
      </c>
      <c r="D1355" s="3" t="str">
        <f t="shared" si="136"/>
        <v>女</v>
      </c>
      <c r="E1355" s="3" t="str">
        <f>"2507014720"</f>
        <v>2507014720</v>
      </c>
      <c r="F1355" s="3" t="str">
        <f t="shared" si="135"/>
        <v>47</v>
      </c>
      <c r="G1355" s="4" t="str">
        <f>"20"</f>
        <v>20</v>
      </c>
      <c r="H1355" s="5">
        <v>55.6</v>
      </c>
      <c r="I1355" s="3"/>
    </row>
    <row r="1356" customHeight="1" spans="1:9">
      <c r="A1356" s="3" t="str">
        <f t="shared" si="137"/>
        <v>0105</v>
      </c>
      <c r="B1356" s="3" t="s">
        <v>19</v>
      </c>
      <c r="C1356" s="3" t="str">
        <f>"李文"</f>
        <v>李文</v>
      </c>
      <c r="D1356" s="3" t="str">
        <f t="shared" si="136"/>
        <v>女</v>
      </c>
      <c r="E1356" s="3" t="str">
        <f>"2507014721"</f>
        <v>2507014721</v>
      </c>
      <c r="F1356" s="3" t="str">
        <f t="shared" si="135"/>
        <v>47</v>
      </c>
      <c r="G1356" s="4" t="str">
        <f>"21"</f>
        <v>21</v>
      </c>
      <c r="H1356" s="5">
        <v>58.9</v>
      </c>
      <c r="I1356" s="3"/>
    </row>
    <row r="1357" customHeight="1" spans="1:9">
      <c r="A1357" s="3" t="str">
        <f t="shared" si="137"/>
        <v>0105</v>
      </c>
      <c r="B1357" s="3" t="s">
        <v>19</v>
      </c>
      <c r="C1357" s="3" t="str">
        <f>"张诺"</f>
        <v>张诺</v>
      </c>
      <c r="D1357" s="3" t="str">
        <f t="shared" si="136"/>
        <v>女</v>
      </c>
      <c r="E1357" s="3" t="str">
        <f>"2507014722"</f>
        <v>2507014722</v>
      </c>
      <c r="F1357" s="3" t="str">
        <f t="shared" si="135"/>
        <v>47</v>
      </c>
      <c r="G1357" s="4" t="str">
        <f>"22"</f>
        <v>22</v>
      </c>
      <c r="H1357" s="5">
        <v>43.5</v>
      </c>
      <c r="I1357" s="3"/>
    </row>
    <row r="1358" customHeight="1" spans="1:9">
      <c r="A1358" s="3" t="str">
        <f t="shared" si="137"/>
        <v>0105</v>
      </c>
      <c r="B1358" s="3" t="s">
        <v>19</v>
      </c>
      <c r="C1358" s="3" t="str">
        <f>"王婷婷"</f>
        <v>王婷婷</v>
      </c>
      <c r="D1358" s="3" t="str">
        <f t="shared" si="136"/>
        <v>女</v>
      </c>
      <c r="E1358" s="3" t="str">
        <f>"2507014723"</f>
        <v>2507014723</v>
      </c>
      <c r="F1358" s="3" t="str">
        <f t="shared" si="135"/>
        <v>47</v>
      </c>
      <c r="G1358" s="4" t="str">
        <f>"23"</f>
        <v>23</v>
      </c>
      <c r="H1358" s="5">
        <v>63.2</v>
      </c>
      <c r="I1358" s="3"/>
    </row>
    <row r="1359" customHeight="1" spans="1:9">
      <c r="A1359" s="3" t="str">
        <f t="shared" si="137"/>
        <v>0105</v>
      </c>
      <c r="B1359" s="3" t="s">
        <v>19</v>
      </c>
      <c r="C1359" s="3" t="str">
        <f>"闫涵"</f>
        <v>闫涵</v>
      </c>
      <c r="D1359" s="3" t="str">
        <f t="shared" si="136"/>
        <v>女</v>
      </c>
      <c r="E1359" s="3" t="str">
        <f>"2507014724"</f>
        <v>2507014724</v>
      </c>
      <c r="F1359" s="3" t="str">
        <f t="shared" si="135"/>
        <v>47</v>
      </c>
      <c r="G1359" s="4" t="str">
        <f>"24"</f>
        <v>24</v>
      </c>
      <c r="H1359" s="5">
        <v>0</v>
      </c>
      <c r="I1359" s="3" t="s">
        <v>11</v>
      </c>
    </row>
    <row r="1360" customHeight="1" spans="1:9">
      <c r="A1360" s="3" t="str">
        <f t="shared" si="137"/>
        <v>0105</v>
      </c>
      <c r="B1360" s="3" t="s">
        <v>19</v>
      </c>
      <c r="C1360" s="3" t="str">
        <f>"解媛媛"</f>
        <v>解媛媛</v>
      </c>
      <c r="D1360" s="3" t="str">
        <f t="shared" si="136"/>
        <v>女</v>
      </c>
      <c r="E1360" s="3" t="str">
        <f>"2507014725"</f>
        <v>2507014725</v>
      </c>
      <c r="F1360" s="3" t="str">
        <f t="shared" si="135"/>
        <v>47</v>
      </c>
      <c r="G1360" s="4" t="str">
        <f>"25"</f>
        <v>25</v>
      </c>
      <c r="H1360" s="5">
        <v>63.8</v>
      </c>
      <c r="I1360" s="3"/>
    </row>
    <row r="1361" customHeight="1" spans="1:9">
      <c r="A1361" s="3" t="str">
        <f t="shared" si="137"/>
        <v>0105</v>
      </c>
      <c r="B1361" s="3" t="s">
        <v>19</v>
      </c>
      <c r="C1361" s="3" t="str">
        <f>"童尧"</f>
        <v>童尧</v>
      </c>
      <c r="D1361" s="3" t="str">
        <f>"男"</f>
        <v>男</v>
      </c>
      <c r="E1361" s="3" t="str">
        <f>"2507014726"</f>
        <v>2507014726</v>
      </c>
      <c r="F1361" s="3" t="str">
        <f t="shared" si="135"/>
        <v>47</v>
      </c>
      <c r="G1361" s="4" t="str">
        <f>"26"</f>
        <v>26</v>
      </c>
      <c r="H1361" s="5">
        <v>66.9</v>
      </c>
      <c r="I1361" s="3"/>
    </row>
    <row r="1362" customHeight="1" spans="1:9">
      <c r="A1362" s="3" t="str">
        <f t="shared" si="137"/>
        <v>0105</v>
      </c>
      <c r="B1362" s="3" t="s">
        <v>19</v>
      </c>
      <c r="C1362" s="3" t="str">
        <f>"曾婵"</f>
        <v>曾婵</v>
      </c>
      <c r="D1362" s="3" t="str">
        <f>"女"</f>
        <v>女</v>
      </c>
      <c r="E1362" s="3" t="str">
        <f>"2507014727"</f>
        <v>2507014727</v>
      </c>
      <c r="F1362" s="3" t="str">
        <f t="shared" si="135"/>
        <v>47</v>
      </c>
      <c r="G1362" s="4" t="str">
        <f>"27"</f>
        <v>27</v>
      </c>
      <c r="H1362" s="5">
        <v>49.8</v>
      </c>
      <c r="I1362" s="3"/>
    </row>
    <row r="1363" customHeight="1" spans="1:9">
      <c r="A1363" s="3" t="str">
        <f t="shared" si="137"/>
        <v>0105</v>
      </c>
      <c r="B1363" s="3" t="s">
        <v>19</v>
      </c>
      <c r="C1363" s="3" t="str">
        <f>"王哲"</f>
        <v>王哲</v>
      </c>
      <c r="D1363" s="3" t="str">
        <f>"女"</f>
        <v>女</v>
      </c>
      <c r="E1363" s="3" t="str">
        <f>"2507014728"</f>
        <v>2507014728</v>
      </c>
      <c r="F1363" s="3" t="str">
        <f t="shared" si="135"/>
        <v>47</v>
      </c>
      <c r="G1363" s="4" t="str">
        <f>"28"</f>
        <v>28</v>
      </c>
      <c r="H1363" s="5">
        <v>51.7</v>
      </c>
      <c r="I1363" s="3"/>
    </row>
    <row r="1364" customHeight="1" spans="1:9">
      <c r="A1364" s="3" t="str">
        <f t="shared" si="137"/>
        <v>0105</v>
      </c>
      <c r="B1364" s="3" t="s">
        <v>19</v>
      </c>
      <c r="C1364" s="3" t="str">
        <f>"颜玲"</f>
        <v>颜玲</v>
      </c>
      <c r="D1364" s="3" t="str">
        <f>"女"</f>
        <v>女</v>
      </c>
      <c r="E1364" s="3" t="str">
        <f>"2507014729"</f>
        <v>2507014729</v>
      </c>
      <c r="F1364" s="3" t="str">
        <f t="shared" si="135"/>
        <v>47</v>
      </c>
      <c r="G1364" s="4" t="str">
        <f>"29"</f>
        <v>29</v>
      </c>
      <c r="H1364" s="5">
        <v>0</v>
      </c>
      <c r="I1364" s="3" t="s">
        <v>11</v>
      </c>
    </row>
    <row r="1365" customHeight="1" spans="1:9">
      <c r="A1365" s="3" t="str">
        <f t="shared" si="137"/>
        <v>0105</v>
      </c>
      <c r="B1365" s="3" t="s">
        <v>19</v>
      </c>
      <c r="C1365" s="3" t="str">
        <f>"卢晨"</f>
        <v>卢晨</v>
      </c>
      <c r="D1365" s="3" t="str">
        <f>"女"</f>
        <v>女</v>
      </c>
      <c r="E1365" s="3" t="str">
        <f>"2507014730"</f>
        <v>2507014730</v>
      </c>
      <c r="F1365" s="3" t="str">
        <f t="shared" si="135"/>
        <v>47</v>
      </c>
      <c r="G1365" s="4" t="str">
        <f>"30"</f>
        <v>30</v>
      </c>
      <c r="H1365" s="5">
        <v>64.9</v>
      </c>
      <c r="I1365" s="3"/>
    </row>
    <row r="1366" customHeight="1" spans="1:9">
      <c r="A1366" s="3" t="str">
        <f t="shared" si="137"/>
        <v>0105</v>
      </c>
      <c r="B1366" s="3" t="s">
        <v>19</v>
      </c>
      <c r="C1366" s="3" t="str">
        <f>"刘智超"</f>
        <v>刘智超</v>
      </c>
      <c r="D1366" s="3" t="str">
        <f>"女"</f>
        <v>女</v>
      </c>
      <c r="E1366" s="3" t="str">
        <f>"2507014731"</f>
        <v>2507014731</v>
      </c>
      <c r="F1366" s="3" t="str">
        <f t="shared" si="135"/>
        <v>47</v>
      </c>
      <c r="G1366" s="4" t="str">
        <f>"31"</f>
        <v>31</v>
      </c>
      <c r="H1366" s="5">
        <v>55.7</v>
      </c>
      <c r="I1366" s="3"/>
    </row>
    <row r="1367" customHeight="1" spans="1:9">
      <c r="A1367" s="3" t="str">
        <f t="shared" ref="A1367:A1430" si="138">"0106"</f>
        <v>0106</v>
      </c>
      <c r="B1367" s="3" t="s">
        <v>20</v>
      </c>
      <c r="C1367" s="3" t="str">
        <f>"吴义达"</f>
        <v>吴义达</v>
      </c>
      <c r="D1367" s="3" t="str">
        <f>"男"</f>
        <v>男</v>
      </c>
      <c r="E1367" s="3" t="str">
        <f>"2507014801"</f>
        <v>2507014801</v>
      </c>
      <c r="F1367" s="3" t="str">
        <f t="shared" ref="F1367:F1397" si="139">"48"</f>
        <v>48</v>
      </c>
      <c r="G1367" s="4" t="str">
        <f>"01"</f>
        <v>01</v>
      </c>
      <c r="H1367" s="5">
        <v>0</v>
      </c>
      <c r="I1367" s="3" t="s">
        <v>11</v>
      </c>
    </row>
    <row r="1368" customHeight="1" spans="1:9">
      <c r="A1368" s="3" t="str">
        <f t="shared" si="138"/>
        <v>0106</v>
      </c>
      <c r="B1368" s="3" t="s">
        <v>20</v>
      </c>
      <c r="C1368" s="3" t="str">
        <f>"黄硕"</f>
        <v>黄硕</v>
      </c>
      <c r="D1368" s="3" t="str">
        <f>"男"</f>
        <v>男</v>
      </c>
      <c r="E1368" s="3" t="str">
        <f>"2507014802"</f>
        <v>2507014802</v>
      </c>
      <c r="F1368" s="3" t="str">
        <f t="shared" si="139"/>
        <v>48</v>
      </c>
      <c r="G1368" s="4" t="str">
        <f>"02"</f>
        <v>02</v>
      </c>
      <c r="H1368" s="5">
        <v>53.7</v>
      </c>
      <c r="I1368" s="3"/>
    </row>
    <row r="1369" customHeight="1" spans="1:9">
      <c r="A1369" s="3" t="str">
        <f t="shared" si="138"/>
        <v>0106</v>
      </c>
      <c r="B1369" s="3" t="s">
        <v>20</v>
      </c>
      <c r="C1369" s="3" t="str">
        <f>"崔缓"</f>
        <v>崔缓</v>
      </c>
      <c r="D1369" s="3" t="str">
        <f>"女"</f>
        <v>女</v>
      </c>
      <c r="E1369" s="3" t="str">
        <f>"2507014803"</f>
        <v>2507014803</v>
      </c>
      <c r="F1369" s="3" t="str">
        <f t="shared" si="139"/>
        <v>48</v>
      </c>
      <c r="G1369" s="4" t="str">
        <f>"03"</f>
        <v>03</v>
      </c>
      <c r="H1369" s="5">
        <v>81</v>
      </c>
      <c r="I1369" s="3"/>
    </row>
    <row r="1370" customHeight="1" spans="1:9">
      <c r="A1370" s="3" t="str">
        <f t="shared" si="138"/>
        <v>0106</v>
      </c>
      <c r="B1370" s="3" t="s">
        <v>20</v>
      </c>
      <c r="C1370" s="3" t="str">
        <f>"李天泽"</f>
        <v>李天泽</v>
      </c>
      <c r="D1370" s="3" t="str">
        <f>"男"</f>
        <v>男</v>
      </c>
      <c r="E1370" s="3" t="str">
        <f>"2507014804"</f>
        <v>2507014804</v>
      </c>
      <c r="F1370" s="3" t="str">
        <f t="shared" si="139"/>
        <v>48</v>
      </c>
      <c r="G1370" s="4" t="str">
        <f>"04"</f>
        <v>04</v>
      </c>
      <c r="H1370" s="5">
        <v>59.9</v>
      </c>
      <c r="I1370" s="3"/>
    </row>
    <row r="1371" customHeight="1" spans="1:9">
      <c r="A1371" s="3" t="str">
        <f t="shared" si="138"/>
        <v>0106</v>
      </c>
      <c r="B1371" s="3" t="s">
        <v>20</v>
      </c>
      <c r="C1371" s="3" t="str">
        <f>"谢辉"</f>
        <v>谢辉</v>
      </c>
      <c r="D1371" s="3" t="str">
        <f>"男"</f>
        <v>男</v>
      </c>
      <c r="E1371" s="3" t="str">
        <f>"2507014805"</f>
        <v>2507014805</v>
      </c>
      <c r="F1371" s="3" t="str">
        <f t="shared" si="139"/>
        <v>48</v>
      </c>
      <c r="G1371" s="4" t="str">
        <f>"05"</f>
        <v>05</v>
      </c>
      <c r="H1371" s="5">
        <v>0</v>
      </c>
      <c r="I1371" s="3" t="s">
        <v>11</v>
      </c>
    </row>
    <row r="1372" customHeight="1" spans="1:9">
      <c r="A1372" s="3" t="str">
        <f t="shared" si="138"/>
        <v>0106</v>
      </c>
      <c r="B1372" s="3" t="s">
        <v>20</v>
      </c>
      <c r="C1372" s="3" t="str">
        <f>"王露文"</f>
        <v>王露文</v>
      </c>
      <c r="D1372" s="3" t="str">
        <f>"男"</f>
        <v>男</v>
      </c>
      <c r="E1372" s="3" t="str">
        <f>"2507014806"</f>
        <v>2507014806</v>
      </c>
      <c r="F1372" s="3" t="str">
        <f t="shared" si="139"/>
        <v>48</v>
      </c>
      <c r="G1372" s="4" t="str">
        <f>"06"</f>
        <v>06</v>
      </c>
      <c r="H1372" s="5">
        <v>0</v>
      </c>
      <c r="I1372" s="3" t="s">
        <v>11</v>
      </c>
    </row>
    <row r="1373" customHeight="1" spans="1:9">
      <c r="A1373" s="3" t="str">
        <f t="shared" si="138"/>
        <v>0106</v>
      </c>
      <c r="B1373" s="3" t="s">
        <v>20</v>
      </c>
      <c r="C1373" s="3" t="str">
        <f>"李继鑫"</f>
        <v>李继鑫</v>
      </c>
      <c r="D1373" s="3" t="str">
        <f>"男"</f>
        <v>男</v>
      </c>
      <c r="E1373" s="3" t="str">
        <f>"2507014807"</f>
        <v>2507014807</v>
      </c>
      <c r="F1373" s="3" t="str">
        <f t="shared" si="139"/>
        <v>48</v>
      </c>
      <c r="G1373" s="4" t="str">
        <f>"07"</f>
        <v>07</v>
      </c>
      <c r="H1373" s="5">
        <v>0</v>
      </c>
      <c r="I1373" s="3" t="s">
        <v>11</v>
      </c>
    </row>
    <row r="1374" customHeight="1" spans="1:9">
      <c r="A1374" s="3" t="str">
        <f t="shared" si="138"/>
        <v>0106</v>
      </c>
      <c r="B1374" s="3" t="s">
        <v>20</v>
      </c>
      <c r="C1374" s="3" t="str">
        <f>"薄彦妮"</f>
        <v>薄彦妮</v>
      </c>
      <c r="D1374" s="3" t="str">
        <f>"女"</f>
        <v>女</v>
      </c>
      <c r="E1374" s="3" t="str">
        <f>"2507014808"</f>
        <v>2507014808</v>
      </c>
      <c r="F1374" s="3" t="str">
        <f t="shared" si="139"/>
        <v>48</v>
      </c>
      <c r="G1374" s="4" t="str">
        <f>"08"</f>
        <v>08</v>
      </c>
      <c r="H1374" s="5">
        <v>0</v>
      </c>
      <c r="I1374" s="3" t="s">
        <v>11</v>
      </c>
    </row>
    <row r="1375" customHeight="1" spans="1:9">
      <c r="A1375" s="3" t="str">
        <f t="shared" si="138"/>
        <v>0106</v>
      </c>
      <c r="B1375" s="3" t="s">
        <v>20</v>
      </c>
      <c r="C1375" s="3" t="str">
        <f>"李萍"</f>
        <v>李萍</v>
      </c>
      <c r="D1375" s="3" t="str">
        <f>"女"</f>
        <v>女</v>
      </c>
      <c r="E1375" s="3" t="str">
        <f>"2507014809"</f>
        <v>2507014809</v>
      </c>
      <c r="F1375" s="3" t="str">
        <f t="shared" si="139"/>
        <v>48</v>
      </c>
      <c r="G1375" s="4" t="str">
        <f>"09"</f>
        <v>09</v>
      </c>
      <c r="H1375" s="5">
        <v>0</v>
      </c>
      <c r="I1375" s="3" t="s">
        <v>11</v>
      </c>
    </row>
    <row r="1376" customHeight="1" spans="1:9">
      <c r="A1376" s="3" t="str">
        <f t="shared" si="138"/>
        <v>0106</v>
      </c>
      <c r="B1376" s="3" t="s">
        <v>20</v>
      </c>
      <c r="C1376" s="3" t="str">
        <f>"李梦丹"</f>
        <v>李梦丹</v>
      </c>
      <c r="D1376" s="3" t="str">
        <f>"女"</f>
        <v>女</v>
      </c>
      <c r="E1376" s="3" t="str">
        <f>"2507014810"</f>
        <v>2507014810</v>
      </c>
      <c r="F1376" s="3" t="str">
        <f t="shared" si="139"/>
        <v>48</v>
      </c>
      <c r="G1376" s="4" t="str">
        <f>"10"</f>
        <v>10</v>
      </c>
      <c r="H1376" s="5">
        <v>66.9</v>
      </c>
      <c r="I1376" s="3"/>
    </row>
    <row r="1377" customHeight="1" spans="1:9">
      <c r="A1377" s="3" t="str">
        <f t="shared" si="138"/>
        <v>0106</v>
      </c>
      <c r="B1377" s="3" t="s">
        <v>20</v>
      </c>
      <c r="C1377" s="3" t="str">
        <f>"朱茂昂"</f>
        <v>朱茂昂</v>
      </c>
      <c r="D1377" s="3" t="str">
        <f>"男"</f>
        <v>男</v>
      </c>
      <c r="E1377" s="3" t="str">
        <f>"2507014811"</f>
        <v>2507014811</v>
      </c>
      <c r="F1377" s="3" t="str">
        <f t="shared" si="139"/>
        <v>48</v>
      </c>
      <c r="G1377" s="4" t="str">
        <f>"11"</f>
        <v>11</v>
      </c>
      <c r="H1377" s="5">
        <v>83.3</v>
      </c>
      <c r="I1377" s="3"/>
    </row>
    <row r="1378" customHeight="1" spans="1:9">
      <c r="A1378" s="3" t="str">
        <f t="shared" si="138"/>
        <v>0106</v>
      </c>
      <c r="B1378" s="3" t="s">
        <v>20</v>
      </c>
      <c r="C1378" s="3" t="str">
        <f>"马朝晨"</f>
        <v>马朝晨</v>
      </c>
      <c r="D1378" s="3" t="str">
        <f>"男"</f>
        <v>男</v>
      </c>
      <c r="E1378" s="3" t="str">
        <f>"2507014812"</f>
        <v>2507014812</v>
      </c>
      <c r="F1378" s="3" t="str">
        <f t="shared" si="139"/>
        <v>48</v>
      </c>
      <c r="G1378" s="4" t="str">
        <f>"12"</f>
        <v>12</v>
      </c>
      <c r="H1378" s="5">
        <v>77.7</v>
      </c>
      <c r="I1378" s="3"/>
    </row>
    <row r="1379" customHeight="1" spans="1:9">
      <c r="A1379" s="3" t="str">
        <f t="shared" si="138"/>
        <v>0106</v>
      </c>
      <c r="B1379" s="3" t="s">
        <v>20</v>
      </c>
      <c r="C1379" s="3" t="str">
        <f>"李明馨"</f>
        <v>李明馨</v>
      </c>
      <c r="D1379" s="3" t="str">
        <f>"女"</f>
        <v>女</v>
      </c>
      <c r="E1379" s="3" t="str">
        <f>"2507014813"</f>
        <v>2507014813</v>
      </c>
      <c r="F1379" s="3" t="str">
        <f t="shared" si="139"/>
        <v>48</v>
      </c>
      <c r="G1379" s="4" t="str">
        <f>"13"</f>
        <v>13</v>
      </c>
      <c r="H1379" s="5">
        <v>90.4</v>
      </c>
      <c r="I1379" s="3"/>
    </row>
    <row r="1380" customHeight="1" spans="1:9">
      <c r="A1380" s="3" t="str">
        <f t="shared" si="138"/>
        <v>0106</v>
      </c>
      <c r="B1380" s="3" t="s">
        <v>20</v>
      </c>
      <c r="C1380" s="3" t="str">
        <f>"邵鹏杰"</f>
        <v>邵鹏杰</v>
      </c>
      <c r="D1380" s="3" t="str">
        <f>"男"</f>
        <v>男</v>
      </c>
      <c r="E1380" s="3" t="str">
        <f>"2507014814"</f>
        <v>2507014814</v>
      </c>
      <c r="F1380" s="3" t="str">
        <f t="shared" si="139"/>
        <v>48</v>
      </c>
      <c r="G1380" s="4" t="str">
        <f>"14"</f>
        <v>14</v>
      </c>
      <c r="H1380" s="5">
        <v>0</v>
      </c>
      <c r="I1380" s="3" t="s">
        <v>11</v>
      </c>
    </row>
    <row r="1381" customHeight="1" spans="1:9">
      <c r="A1381" s="3" t="str">
        <f t="shared" si="138"/>
        <v>0106</v>
      </c>
      <c r="B1381" s="3" t="s">
        <v>20</v>
      </c>
      <c r="C1381" s="3" t="str">
        <f>"王其祥"</f>
        <v>王其祥</v>
      </c>
      <c r="D1381" s="3" t="str">
        <f>"男"</f>
        <v>男</v>
      </c>
      <c r="E1381" s="3" t="str">
        <f>"2507014815"</f>
        <v>2507014815</v>
      </c>
      <c r="F1381" s="3" t="str">
        <f t="shared" si="139"/>
        <v>48</v>
      </c>
      <c r="G1381" s="4" t="str">
        <f>"15"</f>
        <v>15</v>
      </c>
      <c r="H1381" s="5">
        <v>0</v>
      </c>
      <c r="I1381" s="3" t="s">
        <v>11</v>
      </c>
    </row>
    <row r="1382" customHeight="1" spans="1:9">
      <c r="A1382" s="3" t="str">
        <f t="shared" si="138"/>
        <v>0106</v>
      </c>
      <c r="B1382" s="3" t="s">
        <v>20</v>
      </c>
      <c r="C1382" s="3" t="str">
        <f>"李波"</f>
        <v>李波</v>
      </c>
      <c r="D1382" s="3" t="str">
        <f>"男"</f>
        <v>男</v>
      </c>
      <c r="E1382" s="3" t="str">
        <f>"2507014816"</f>
        <v>2507014816</v>
      </c>
      <c r="F1382" s="3" t="str">
        <f t="shared" si="139"/>
        <v>48</v>
      </c>
      <c r="G1382" s="4" t="str">
        <f>"16"</f>
        <v>16</v>
      </c>
      <c r="H1382" s="5">
        <v>54.8</v>
      </c>
      <c r="I1382" s="3"/>
    </row>
    <row r="1383" customHeight="1" spans="1:9">
      <c r="A1383" s="3" t="str">
        <f t="shared" si="138"/>
        <v>0106</v>
      </c>
      <c r="B1383" s="3" t="s">
        <v>20</v>
      </c>
      <c r="C1383" s="3" t="str">
        <f>"王光明"</f>
        <v>王光明</v>
      </c>
      <c r="D1383" s="3" t="str">
        <f>"男"</f>
        <v>男</v>
      </c>
      <c r="E1383" s="3" t="str">
        <f>"2507014817"</f>
        <v>2507014817</v>
      </c>
      <c r="F1383" s="3" t="str">
        <f t="shared" si="139"/>
        <v>48</v>
      </c>
      <c r="G1383" s="4" t="str">
        <f>"17"</f>
        <v>17</v>
      </c>
      <c r="H1383" s="5">
        <v>0</v>
      </c>
      <c r="I1383" s="3" t="s">
        <v>11</v>
      </c>
    </row>
    <row r="1384" customHeight="1" spans="1:9">
      <c r="A1384" s="3" t="str">
        <f t="shared" si="138"/>
        <v>0106</v>
      </c>
      <c r="B1384" s="3" t="s">
        <v>20</v>
      </c>
      <c r="C1384" s="3" t="str">
        <f>"张瑜"</f>
        <v>张瑜</v>
      </c>
      <c r="D1384" s="3" t="str">
        <f>"女"</f>
        <v>女</v>
      </c>
      <c r="E1384" s="3" t="str">
        <f>"2507014818"</f>
        <v>2507014818</v>
      </c>
      <c r="F1384" s="3" t="str">
        <f t="shared" si="139"/>
        <v>48</v>
      </c>
      <c r="G1384" s="4" t="str">
        <f>"18"</f>
        <v>18</v>
      </c>
      <c r="H1384" s="5">
        <v>71.5</v>
      </c>
      <c r="I1384" s="3"/>
    </row>
    <row r="1385" customHeight="1" spans="1:9">
      <c r="A1385" s="3" t="str">
        <f t="shared" si="138"/>
        <v>0106</v>
      </c>
      <c r="B1385" s="3" t="s">
        <v>20</v>
      </c>
      <c r="C1385" s="3" t="str">
        <f>"刘书菲"</f>
        <v>刘书菲</v>
      </c>
      <c r="D1385" s="3" t="str">
        <f>"女"</f>
        <v>女</v>
      </c>
      <c r="E1385" s="3" t="str">
        <f>"2507014819"</f>
        <v>2507014819</v>
      </c>
      <c r="F1385" s="3" t="str">
        <f t="shared" si="139"/>
        <v>48</v>
      </c>
      <c r="G1385" s="4" t="str">
        <f>"19"</f>
        <v>19</v>
      </c>
      <c r="H1385" s="5">
        <v>85.1</v>
      </c>
      <c r="I1385" s="3"/>
    </row>
    <row r="1386" customHeight="1" spans="1:9">
      <c r="A1386" s="3" t="str">
        <f t="shared" si="138"/>
        <v>0106</v>
      </c>
      <c r="B1386" s="3" t="s">
        <v>20</v>
      </c>
      <c r="C1386" s="3" t="str">
        <f>"孟冲"</f>
        <v>孟冲</v>
      </c>
      <c r="D1386" s="3" t="str">
        <f>"男"</f>
        <v>男</v>
      </c>
      <c r="E1386" s="3" t="str">
        <f>"2507014820"</f>
        <v>2507014820</v>
      </c>
      <c r="F1386" s="3" t="str">
        <f t="shared" si="139"/>
        <v>48</v>
      </c>
      <c r="G1386" s="4" t="str">
        <f>"20"</f>
        <v>20</v>
      </c>
      <c r="H1386" s="5">
        <v>79.7</v>
      </c>
      <c r="I1386" s="3"/>
    </row>
    <row r="1387" customHeight="1" spans="1:9">
      <c r="A1387" s="3" t="str">
        <f t="shared" si="138"/>
        <v>0106</v>
      </c>
      <c r="B1387" s="3" t="s">
        <v>20</v>
      </c>
      <c r="C1387" s="3" t="str">
        <f>"马寅双"</f>
        <v>马寅双</v>
      </c>
      <c r="D1387" s="3" t="str">
        <f>"女"</f>
        <v>女</v>
      </c>
      <c r="E1387" s="3" t="str">
        <f>"2507014821"</f>
        <v>2507014821</v>
      </c>
      <c r="F1387" s="3" t="str">
        <f t="shared" si="139"/>
        <v>48</v>
      </c>
      <c r="G1387" s="4" t="str">
        <f>"21"</f>
        <v>21</v>
      </c>
      <c r="H1387" s="5">
        <v>0</v>
      </c>
      <c r="I1387" s="3" t="s">
        <v>11</v>
      </c>
    </row>
    <row r="1388" customHeight="1" spans="1:9">
      <c r="A1388" s="3" t="str">
        <f t="shared" si="138"/>
        <v>0106</v>
      </c>
      <c r="B1388" s="3" t="s">
        <v>20</v>
      </c>
      <c r="C1388" s="3" t="str">
        <f>"孟冠宇"</f>
        <v>孟冠宇</v>
      </c>
      <c r="D1388" s="3" t="str">
        <f>"男"</f>
        <v>男</v>
      </c>
      <c r="E1388" s="3" t="str">
        <f>"2507014822"</f>
        <v>2507014822</v>
      </c>
      <c r="F1388" s="3" t="str">
        <f t="shared" si="139"/>
        <v>48</v>
      </c>
      <c r="G1388" s="4" t="str">
        <f>"22"</f>
        <v>22</v>
      </c>
      <c r="H1388" s="5">
        <v>39.8</v>
      </c>
      <c r="I1388" s="3"/>
    </row>
    <row r="1389" customHeight="1" spans="1:9">
      <c r="A1389" s="3" t="str">
        <f t="shared" si="138"/>
        <v>0106</v>
      </c>
      <c r="B1389" s="3" t="s">
        <v>20</v>
      </c>
      <c r="C1389" s="3" t="str">
        <f>"刘本科"</f>
        <v>刘本科</v>
      </c>
      <c r="D1389" s="3" t="str">
        <f>"男"</f>
        <v>男</v>
      </c>
      <c r="E1389" s="3" t="str">
        <f>"2507014823"</f>
        <v>2507014823</v>
      </c>
      <c r="F1389" s="3" t="str">
        <f t="shared" si="139"/>
        <v>48</v>
      </c>
      <c r="G1389" s="4" t="str">
        <f>"23"</f>
        <v>23</v>
      </c>
      <c r="H1389" s="5">
        <v>74</v>
      </c>
      <c r="I1389" s="3"/>
    </row>
    <row r="1390" customHeight="1" spans="1:9">
      <c r="A1390" s="3" t="str">
        <f t="shared" si="138"/>
        <v>0106</v>
      </c>
      <c r="B1390" s="3" t="s">
        <v>20</v>
      </c>
      <c r="C1390" s="3" t="str">
        <f>"任欢"</f>
        <v>任欢</v>
      </c>
      <c r="D1390" s="3" t="str">
        <f>"女"</f>
        <v>女</v>
      </c>
      <c r="E1390" s="3" t="str">
        <f>"2507014824"</f>
        <v>2507014824</v>
      </c>
      <c r="F1390" s="3" t="str">
        <f t="shared" si="139"/>
        <v>48</v>
      </c>
      <c r="G1390" s="4" t="str">
        <f>"24"</f>
        <v>24</v>
      </c>
      <c r="H1390" s="5">
        <v>86.2</v>
      </c>
      <c r="I1390" s="3"/>
    </row>
    <row r="1391" customHeight="1" spans="1:9">
      <c r="A1391" s="3" t="str">
        <f t="shared" si="138"/>
        <v>0106</v>
      </c>
      <c r="B1391" s="3" t="s">
        <v>20</v>
      </c>
      <c r="C1391" s="3" t="str">
        <f>"程子龙"</f>
        <v>程子龙</v>
      </c>
      <c r="D1391" s="3" t="str">
        <f t="shared" ref="D1391:D1397" si="140">"男"</f>
        <v>男</v>
      </c>
      <c r="E1391" s="3" t="str">
        <f>"2507014825"</f>
        <v>2507014825</v>
      </c>
      <c r="F1391" s="3" t="str">
        <f t="shared" si="139"/>
        <v>48</v>
      </c>
      <c r="G1391" s="4" t="str">
        <f>"25"</f>
        <v>25</v>
      </c>
      <c r="H1391" s="5">
        <v>73.6</v>
      </c>
      <c r="I1391" s="3"/>
    </row>
    <row r="1392" customHeight="1" spans="1:9">
      <c r="A1392" s="3" t="str">
        <f t="shared" si="138"/>
        <v>0106</v>
      </c>
      <c r="B1392" s="3" t="s">
        <v>20</v>
      </c>
      <c r="C1392" s="3" t="str">
        <f>"宋俊瑶"</f>
        <v>宋俊瑶</v>
      </c>
      <c r="D1392" s="3" t="str">
        <f t="shared" si="140"/>
        <v>男</v>
      </c>
      <c r="E1392" s="3" t="str">
        <f>"2507014826"</f>
        <v>2507014826</v>
      </c>
      <c r="F1392" s="3" t="str">
        <f t="shared" si="139"/>
        <v>48</v>
      </c>
      <c r="G1392" s="4" t="str">
        <f>"26"</f>
        <v>26</v>
      </c>
      <c r="H1392" s="5">
        <v>68.5</v>
      </c>
      <c r="I1392" s="3"/>
    </row>
    <row r="1393" customHeight="1" spans="1:9">
      <c r="A1393" s="3" t="str">
        <f t="shared" si="138"/>
        <v>0106</v>
      </c>
      <c r="B1393" s="3" t="s">
        <v>20</v>
      </c>
      <c r="C1393" s="3" t="str">
        <f>"张侦旗"</f>
        <v>张侦旗</v>
      </c>
      <c r="D1393" s="3" t="str">
        <f t="shared" si="140"/>
        <v>男</v>
      </c>
      <c r="E1393" s="3" t="str">
        <f>"2507014827"</f>
        <v>2507014827</v>
      </c>
      <c r="F1393" s="3" t="str">
        <f t="shared" si="139"/>
        <v>48</v>
      </c>
      <c r="G1393" s="4" t="str">
        <f>"27"</f>
        <v>27</v>
      </c>
      <c r="H1393" s="5">
        <v>77.5</v>
      </c>
      <c r="I1393" s="3"/>
    </row>
    <row r="1394" customHeight="1" spans="1:9">
      <c r="A1394" s="3" t="str">
        <f t="shared" si="138"/>
        <v>0106</v>
      </c>
      <c r="B1394" s="3" t="s">
        <v>20</v>
      </c>
      <c r="C1394" s="3" t="str">
        <f>"胡皓波"</f>
        <v>胡皓波</v>
      </c>
      <c r="D1394" s="3" t="str">
        <f t="shared" si="140"/>
        <v>男</v>
      </c>
      <c r="E1394" s="3" t="str">
        <f>"2507014828"</f>
        <v>2507014828</v>
      </c>
      <c r="F1394" s="3" t="str">
        <f t="shared" si="139"/>
        <v>48</v>
      </c>
      <c r="G1394" s="4" t="str">
        <f>"28"</f>
        <v>28</v>
      </c>
      <c r="H1394" s="5">
        <v>61.1</v>
      </c>
      <c r="I1394" s="3"/>
    </row>
    <row r="1395" customHeight="1" spans="1:9">
      <c r="A1395" s="3" t="str">
        <f t="shared" si="138"/>
        <v>0106</v>
      </c>
      <c r="B1395" s="3" t="s">
        <v>20</v>
      </c>
      <c r="C1395" s="3" t="str">
        <f>"孙科"</f>
        <v>孙科</v>
      </c>
      <c r="D1395" s="3" t="str">
        <f t="shared" si="140"/>
        <v>男</v>
      </c>
      <c r="E1395" s="3" t="str">
        <f>"2507014829"</f>
        <v>2507014829</v>
      </c>
      <c r="F1395" s="3" t="str">
        <f t="shared" si="139"/>
        <v>48</v>
      </c>
      <c r="G1395" s="4" t="str">
        <f>"29"</f>
        <v>29</v>
      </c>
      <c r="H1395" s="5">
        <v>62.5</v>
      </c>
      <c r="I1395" s="3"/>
    </row>
    <row r="1396" customHeight="1" spans="1:9">
      <c r="A1396" s="3" t="str">
        <f t="shared" si="138"/>
        <v>0106</v>
      </c>
      <c r="B1396" s="3" t="s">
        <v>20</v>
      </c>
      <c r="C1396" s="3" t="str">
        <f>"孙建飞"</f>
        <v>孙建飞</v>
      </c>
      <c r="D1396" s="3" t="str">
        <f t="shared" si="140"/>
        <v>男</v>
      </c>
      <c r="E1396" s="3" t="str">
        <f>"2507014830"</f>
        <v>2507014830</v>
      </c>
      <c r="F1396" s="3" t="str">
        <f t="shared" si="139"/>
        <v>48</v>
      </c>
      <c r="G1396" s="4" t="str">
        <f>"30"</f>
        <v>30</v>
      </c>
      <c r="H1396" s="5">
        <v>69.2</v>
      </c>
      <c r="I1396" s="3"/>
    </row>
    <row r="1397" customHeight="1" spans="1:9">
      <c r="A1397" s="3" t="str">
        <f t="shared" si="138"/>
        <v>0106</v>
      </c>
      <c r="B1397" s="3" t="s">
        <v>20</v>
      </c>
      <c r="C1397" s="3" t="str">
        <f>"景文杰"</f>
        <v>景文杰</v>
      </c>
      <c r="D1397" s="3" t="str">
        <f t="shared" si="140"/>
        <v>男</v>
      </c>
      <c r="E1397" s="3" t="str">
        <f>"2507014831"</f>
        <v>2507014831</v>
      </c>
      <c r="F1397" s="3" t="str">
        <f t="shared" si="139"/>
        <v>48</v>
      </c>
      <c r="G1397" s="4" t="str">
        <f>"31"</f>
        <v>31</v>
      </c>
      <c r="H1397" s="5">
        <v>0</v>
      </c>
      <c r="I1397" s="3" t="s">
        <v>11</v>
      </c>
    </row>
    <row r="1398" customHeight="1" spans="1:9">
      <c r="A1398" s="3" t="str">
        <f t="shared" si="138"/>
        <v>0106</v>
      </c>
      <c r="B1398" s="3" t="s">
        <v>20</v>
      </c>
      <c r="C1398" s="3" t="str">
        <f>"李若菡"</f>
        <v>李若菡</v>
      </c>
      <c r="D1398" s="3" t="str">
        <f>"女"</f>
        <v>女</v>
      </c>
      <c r="E1398" s="3" t="str">
        <f>"2507014901"</f>
        <v>2507014901</v>
      </c>
      <c r="F1398" s="3" t="str">
        <f t="shared" ref="F1398:F1428" si="141">"49"</f>
        <v>49</v>
      </c>
      <c r="G1398" s="4" t="str">
        <f>"01"</f>
        <v>01</v>
      </c>
      <c r="H1398" s="5">
        <v>77.7</v>
      </c>
      <c r="I1398" s="3"/>
    </row>
    <row r="1399" customHeight="1" spans="1:9">
      <c r="A1399" s="3" t="str">
        <f t="shared" si="138"/>
        <v>0106</v>
      </c>
      <c r="B1399" s="3" t="s">
        <v>20</v>
      </c>
      <c r="C1399" s="3" t="str">
        <f>"薛怀胜"</f>
        <v>薛怀胜</v>
      </c>
      <c r="D1399" s="3" t="str">
        <f>"男"</f>
        <v>男</v>
      </c>
      <c r="E1399" s="3" t="str">
        <f>"2507014902"</f>
        <v>2507014902</v>
      </c>
      <c r="F1399" s="3" t="str">
        <f t="shared" si="141"/>
        <v>49</v>
      </c>
      <c r="G1399" s="4" t="str">
        <f>"02"</f>
        <v>02</v>
      </c>
      <c r="H1399" s="5">
        <v>0</v>
      </c>
      <c r="I1399" s="3" t="s">
        <v>11</v>
      </c>
    </row>
    <row r="1400" customHeight="1" spans="1:9">
      <c r="A1400" s="3" t="str">
        <f t="shared" si="138"/>
        <v>0106</v>
      </c>
      <c r="B1400" s="3" t="s">
        <v>20</v>
      </c>
      <c r="C1400" s="3" t="str">
        <f>"张梦迪"</f>
        <v>张梦迪</v>
      </c>
      <c r="D1400" s="3" t="str">
        <f>"男"</f>
        <v>男</v>
      </c>
      <c r="E1400" s="3" t="str">
        <f>"2507014903"</f>
        <v>2507014903</v>
      </c>
      <c r="F1400" s="3" t="str">
        <f t="shared" si="141"/>
        <v>49</v>
      </c>
      <c r="G1400" s="4" t="str">
        <f>"03"</f>
        <v>03</v>
      </c>
      <c r="H1400" s="5">
        <v>69.8</v>
      </c>
      <c r="I1400" s="3"/>
    </row>
    <row r="1401" customHeight="1" spans="1:9">
      <c r="A1401" s="3" t="str">
        <f t="shared" si="138"/>
        <v>0106</v>
      </c>
      <c r="B1401" s="3" t="s">
        <v>20</v>
      </c>
      <c r="C1401" s="3" t="str">
        <f>"禚马呈"</f>
        <v>禚马呈</v>
      </c>
      <c r="D1401" s="3" t="str">
        <f>"男"</f>
        <v>男</v>
      </c>
      <c r="E1401" s="3" t="str">
        <f>"2507014904"</f>
        <v>2507014904</v>
      </c>
      <c r="F1401" s="3" t="str">
        <f t="shared" si="141"/>
        <v>49</v>
      </c>
      <c r="G1401" s="4" t="str">
        <f>"04"</f>
        <v>04</v>
      </c>
      <c r="H1401" s="5">
        <v>63.2</v>
      </c>
      <c r="I1401" s="3"/>
    </row>
    <row r="1402" customHeight="1" spans="1:9">
      <c r="A1402" s="3" t="str">
        <f t="shared" si="138"/>
        <v>0106</v>
      </c>
      <c r="B1402" s="3" t="s">
        <v>20</v>
      </c>
      <c r="C1402" s="3" t="str">
        <f>"郝维胜"</f>
        <v>郝维胜</v>
      </c>
      <c r="D1402" s="3" t="str">
        <f>"男"</f>
        <v>男</v>
      </c>
      <c r="E1402" s="3" t="str">
        <f>"2507014905"</f>
        <v>2507014905</v>
      </c>
      <c r="F1402" s="3" t="str">
        <f t="shared" si="141"/>
        <v>49</v>
      </c>
      <c r="G1402" s="4" t="str">
        <f>"05"</f>
        <v>05</v>
      </c>
      <c r="H1402" s="5">
        <v>54.9</v>
      </c>
      <c r="I1402" s="3"/>
    </row>
    <row r="1403" customHeight="1" spans="1:9">
      <c r="A1403" s="3" t="str">
        <f t="shared" si="138"/>
        <v>0106</v>
      </c>
      <c r="B1403" s="3" t="s">
        <v>20</v>
      </c>
      <c r="C1403" s="3" t="str">
        <f>"周明浩"</f>
        <v>周明浩</v>
      </c>
      <c r="D1403" s="3" t="str">
        <f>"男"</f>
        <v>男</v>
      </c>
      <c r="E1403" s="3" t="str">
        <f>"2507014906"</f>
        <v>2507014906</v>
      </c>
      <c r="F1403" s="3" t="str">
        <f t="shared" si="141"/>
        <v>49</v>
      </c>
      <c r="G1403" s="4" t="str">
        <f>"06"</f>
        <v>06</v>
      </c>
      <c r="H1403" s="5">
        <v>68.8</v>
      </c>
      <c r="I1403" s="3"/>
    </row>
    <row r="1404" customHeight="1" spans="1:9">
      <c r="A1404" s="3" t="str">
        <f t="shared" si="138"/>
        <v>0106</v>
      </c>
      <c r="B1404" s="3" t="s">
        <v>20</v>
      </c>
      <c r="C1404" s="3" t="str">
        <f>"马文彬"</f>
        <v>马文彬</v>
      </c>
      <c r="D1404" s="3" t="str">
        <f>"女"</f>
        <v>女</v>
      </c>
      <c r="E1404" s="3" t="str">
        <f>"2507014907"</f>
        <v>2507014907</v>
      </c>
      <c r="F1404" s="3" t="str">
        <f t="shared" si="141"/>
        <v>49</v>
      </c>
      <c r="G1404" s="4" t="str">
        <f>"07"</f>
        <v>07</v>
      </c>
      <c r="H1404" s="5">
        <v>84.9</v>
      </c>
      <c r="I1404" s="3"/>
    </row>
    <row r="1405" customHeight="1" spans="1:9">
      <c r="A1405" s="3" t="str">
        <f t="shared" si="138"/>
        <v>0106</v>
      </c>
      <c r="B1405" s="3" t="s">
        <v>20</v>
      </c>
      <c r="C1405" s="3" t="str">
        <f>"张光洲"</f>
        <v>张光洲</v>
      </c>
      <c r="D1405" s="3" t="str">
        <f>"男"</f>
        <v>男</v>
      </c>
      <c r="E1405" s="3" t="str">
        <f>"2507014908"</f>
        <v>2507014908</v>
      </c>
      <c r="F1405" s="3" t="str">
        <f t="shared" si="141"/>
        <v>49</v>
      </c>
      <c r="G1405" s="4" t="str">
        <f>"08"</f>
        <v>08</v>
      </c>
      <c r="H1405" s="5">
        <v>76.6</v>
      </c>
      <c r="I1405" s="3"/>
    </row>
    <row r="1406" customHeight="1" spans="1:9">
      <c r="A1406" s="3" t="str">
        <f t="shared" si="138"/>
        <v>0106</v>
      </c>
      <c r="B1406" s="3" t="s">
        <v>20</v>
      </c>
      <c r="C1406" s="3" t="str">
        <f>"钟泽祥"</f>
        <v>钟泽祥</v>
      </c>
      <c r="D1406" s="3" t="str">
        <f>"男"</f>
        <v>男</v>
      </c>
      <c r="E1406" s="3" t="str">
        <f>"2507014909"</f>
        <v>2507014909</v>
      </c>
      <c r="F1406" s="3" t="str">
        <f t="shared" si="141"/>
        <v>49</v>
      </c>
      <c r="G1406" s="4" t="str">
        <f>"09"</f>
        <v>09</v>
      </c>
      <c r="H1406" s="5">
        <v>0</v>
      </c>
      <c r="I1406" s="3" t="s">
        <v>11</v>
      </c>
    </row>
    <row r="1407" customHeight="1" spans="1:9">
      <c r="A1407" s="3" t="str">
        <f t="shared" si="138"/>
        <v>0106</v>
      </c>
      <c r="B1407" s="3" t="s">
        <v>20</v>
      </c>
      <c r="C1407" s="3" t="str">
        <f>"朱旭"</f>
        <v>朱旭</v>
      </c>
      <c r="D1407" s="3" t="str">
        <f>"男"</f>
        <v>男</v>
      </c>
      <c r="E1407" s="3" t="str">
        <f>"2507014910"</f>
        <v>2507014910</v>
      </c>
      <c r="F1407" s="3" t="str">
        <f t="shared" si="141"/>
        <v>49</v>
      </c>
      <c r="G1407" s="4" t="str">
        <f>"10"</f>
        <v>10</v>
      </c>
      <c r="H1407" s="5">
        <v>75.6</v>
      </c>
      <c r="I1407" s="3"/>
    </row>
    <row r="1408" customHeight="1" spans="1:9">
      <c r="A1408" s="3" t="str">
        <f t="shared" si="138"/>
        <v>0106</v>
      </c>
      <c r="B1408" s="3" t="s">
        <v>20</v>
      </c>
      <c r="C1408" s="3" t="str">
        <f>"王语桐"</f>
        <v>王语桐</v>
      </c>
      <c r="D1408" s="3" t="str">
        <f>"女"</f>
        <v>女</v>
      </c>
      <c r="E1408" s="3" t="str">
        <f>"2507014911"</f>
        <v>2507014911</v>
      </c>
      <c r="F1408" s="3" t="str">
        <f t="shared" si="141"/>
        <v>49</v>
      </c>
      <c r="G1408" s="4" t="str">
        <f>"11"</f>
        <v>11</v>
      </c>
      <c r="H1408" s="5">
        <v>66.5</v>
      </c>
      <c r="I1408" s="3"/>
    </row>
    <row r="1409" customHeight="1" spans="1:9">
      <c r="A1409" s="3" t="str">
        <f t="shared" si="138"/>
        <v>0106</v>
      </c>
      <c r="B1409" s="3" t="s">
        <v>20</v>
      </c>
      <c r="C1409" s="3" t="str">
        <f>"彭程"</f>
        <v>彭程</v>
      </c>
      <c r="D1409" s="3" t="str">
        <f>"男"</f>
        <v>男</v>
      </c>
      <c r="E1409" s="3" t="str">
        <f>"2507014912"</f>
        <v>2507014912</v>
      </c>
      <c r="F1409" s="3" t="str">
        <f t="shared" si="141"/>
        <v>49</v>
      </c>
      <c r="G1409" s="4" t="str">
        <f>"12"</f>
        <v>12</v>
      </c>
      <c r="H1409" s="5">
        <v>64.4</v>
      </c>
      <c r="I1409" s="3"/>
    </row>
    <row r="1410" customHeight="1" spans="1:9">
      <c r="A1410" s="3" t="str">
        <f t="shared" si="138"/>
        <v>0106</v>
      </c>
      <c r="B1410" s="3" t="s">
        <v>20</v>
      </c>
      <c r="C1410" s="3" t="str">
        <f>"马祥瑞"</f>
        <v>马祥瑞</v>
      </c>
      <c r="D1410" s="3" t="str">
        <f>"男"</f>
        <v>男</v>
      </c>
      <c r="E1410" s="3" t="str">
        <f>"2507014913"</f>
        <v>2507014913</v>
      </c>
      <c r="F1410" s="3" t="str">
        <f t="shared" si="141"/>
        <v>49</v>
      </c>
      <c r="G1410" s="4" t="str">
        <f>"13"</f>
        <v>13</v>
      </c>
      <c r="H1410" s="5">
        <v>75.9</v>
      </c>
      <c r="I1410" s="3"/>
    </row>
    <row r="1411" customHeight="1" spans="1:9">
      <c r="A1411" s="3" t="str">
        <f t="shared" si="138"/>
        <v>0106</v>
      </c>
      <c r="B1411" s="3" t="s">
        <v>20</v>
      </c>
      <c r="C1411" s="3" t="str">
        <f>"王岳"</f>
        <v>王岳</v>
      </c>
      <c r="D1411" s="3" t="str">
        <f>"男"</f>
        <v>男</v>
      </c>
      <c r="E1411" s="3" t="str">
        <f>"2507014914"</f>
        <v>2507014914</v>
      </c>
      <c r="F1411" s="3" t="str">
        <f t="shared" si="141"/>
        <v>49</v>
      </c>
      <c r="G1411" s="4" t="str">
        <f>"14"</f>
        <v>14</v>
      </c>
      <c r="H1411" s="5">
        <v>82</v>
      </c>
      <c r="I1411" s="3"/>
    </row>
    <row r="1412" customHeight="1" spans="1:9">
      <c r="A1412" s="3" t="str">
        <f t="shared" si="138"/>
        <v>0106</v>
      </c>
      <c r="B1412" s="3" t="s">
        <v>20</v>
      </c>
      <c r="C1412" s="3" t="str">
        <f>"周晓龙"</f>
        <v>周晓龙</v>
      </c>
      <c r="D1412" s="3" t="str">
        <f>"男"</f>
        <v>男</v>
      </c>
      <c r="E1412" s="3" t="str">
        <f>"2507014915"</f>
        <v>2507014915</v>
      </c>
      <c r="F1412" s="3" t="str">
        <f t="shared" si="141"/>
        <v>49</v>
      </c>
      <c r="G1412" s="4" t="str">
        <f>"15"</f>
        <v>15</v>
      </c>
      <c r="H1412" s="5">
        <v>77.7</v>
      </c>
      <c r="I1412" s="3"/>
    </row>
    <row r="1413" customHeight="1" spans="1:9">
      <c r="A1413" s="3" t="str">
        <f t="shared" si="138"/>
        <v>0106</v>
      </c>
      <c r="B1413" s="3" t="s">
        <v>20</v>
      </c>
      <c r="C1413" s="3" t="str">
        <f>"徐保琪"</f>
        <v>徐保琪</v>
      </c>
      <c r="D1413" s="3" t="str">
        <f>"男"</f>
        <v>男</v>
      </c>
      <c r="E1413" s="3" t="str">
        <f>"2507014916"</f>
        <v>2507014916</v>
      </c>
      <c r="F1413" s="3" t="str">
        <f t="shared" si="141"/>
        <v>49</v>
      </c>
      <c r="G1413" s="4" t="str">
        <f>"16"</f>
        <v>16</v>
      </c>
      <c r="H1413" s="5">
        <v>67.9</v>
      </c>
      <c r="I1413" s="3"/>
    </row>
    <row r="1414" customHeight="1" spans="1:9">
      <c r="A1414" s="3" t="str">
        <f t="shared" si="138"/>
        <v>0106</v>
      </c>
      <c r="B1414" s="3" t="s">
        <v>20</v>
      </c>
      <c r="C1414" s="3" t="str">
        <f>"武燕红"</f>
        <v>武燕红</v>
      </c>
      <c r="D1414" s="3" t="str">
        <f>"女"</f>
        <v>女</v>
      </c>
      <c r="E1414" s="3" t="str">
        <f>"2507014917"</f>
        <v>2507014917</v>
      </c>
      <c r="F1414" s="3" t="str">
        <f t="shared" si="141"/>
        <v>49</v>
      </c>
      <c r="G1414" s="4" t="str">
        <f>"17"</f>
        <v>17</v>
      </c>
      <c r="H1414" s="5">
        <v>76.5</v>
      </c>
      <c r="I1414" s="3"/>
    </row>
    <row r="1415" customHeight="1" spans="1:9">
      <c r="A1415" s="3" t="str">
        <f t="shared" si="138"/>
        <v>0106</v>
      </c>
      <c r="B1415" s="3" t="s">
        <v>20</v>
      </c>
      <c r="C1415" s="3" t="str">
        <f>"李晓茹"</f>
        <v>李晓茹</v>
      </c>
      <c r="D1415" s="3" t="str">
        <f>"女"</f>
        <v>女</v>
      </c>
      <c r="E1415" s="3" t="str">
        <f>"2507014918"</f>
        <v>2507014918</v>
      </c>
      <c r="F1415" s="3" t="str">
        <f t="shared" si="141"/>
        <v>49</v>
      </c>
      <c r="G1415" s="4" t="str">
        <f>"18"</f>
        <v>18</v>
      </c>
      <c r="H1415" s="5">
        <v>54.1</v>
      </c>
      <c r="I1415" s="3"/>
    </row>
    <row r="1416" customHeight="1" spans="1:9">
      <c r="A1416" s="3" t="str">
        <f t="shared" si="138"/>
        <v>0106</v>
      </c>
      <c r="B1416" s="3" t="s">
        <v>20</v>
      </c>
      <c r="C1416" s="3" t="str">
        <f>"任远东"</f>
        <v>任远东</v>
      </c>
      <c r="D1416" s="3" t="str">
        <f>"男"</f>
        <v>男</v>
      </c>
      <c r="E1416" s="3" t="str">
        <f>"2507014919"</f>
        <v>2507014919</v>
      </c>
      <c r="F1416" s="3" t="str">
        <f t="shared" si="141"/>
        <v>49</v>
      </c>
      <c r="G1416" s="4" t="str">
        <f>"19"</f>
        <v>19</v>
      </c>
      <c r="H1416" s="5">
        <v>0</v>
      </c>
      <c r="I1416" s="3" t="s">
        <v>11</v>
      </c>
    </row>
    <row r="1417" customHeight="1" spans="1:9">
      <c r="A1417" s="3" t="str">
        <f t="shared" si="138"/>
        <v>0106</v>
      </c>
      <c r="B1417" s="3" t="s">
        <v>20</v>
      </c>
      <c r="C1417" s="3" t="str">
        <f>"张海鑫"</f>
        <v>张海鑫</v>
      </c>
      <c r="D1417" s="3" t="str">
        <f>"男"</f>
        <v>男</v>
      </c>
      <c r="E1417" s="3" t="str">
        <f>"2507014920"</f>
        <v>2507014920</v>
      </c>
      <c r="F1417" s="3" t="str">
        <f t="shared" si="141"/>
        <v>49</v>
      </c>
      <c r="G1417" s="4" t="str">
        <f>"20"</f>
        <v>20</v>
      </c>
      <c r="H1417" s="5">
        <v>0</v>
      </c>
      <c r="I1417" s="3" t="s">
        <v>11</v>
      </c>
    </row>
    <row r="1418" customHeight="1" spans="1:9">
      <c r="A1418" s="3" t="str">
        <f t="shared" si="138"/>
        <v>0106</v>
      </c>
      <c r="B1418" s="3" t="s">
        <v>20</v>
      </c>
      <c r="C1418" s="3" t="str">
        <f>"刘富贵"</f>
        <v>刘富贵</v>
      </c>
      <c r="D1418" s="3" t="str">
        <f>"男"</f>
        <v>男</v>
      </c>
      <c r="E1418" s="3" t="str">
        <f>"2507014921"</f>
        <v>2507014921</v>
      </c>
      <c r="F1418" s="3" t="str">
        <f t="shared" si="141"/>
        <v>49</v>
      </c>
      <c r="G1418" s="4" t="str">
        <f>"21"</f>
        <v>21</v>
      </c>
      <c r="H1418" s="5">
        <v>52.4</v>
      </c>
      <c r="I1418" s="3"/>
    </row>
    <row r="1419" customHeight="1" spans="1:9">
      <c r="A1419" s="3" t="str">
        <f t="shared" si="138"/>
        <v>0106</v>
      </c>
      <c r="B1419" s="3" t="s">
        <v>20</v>
      </c>
      <c r="C1419" s="3" t="str">
        <f>"宋建勋"</f>
        <v>宋建勋</v>
      </c>
      <c r="D1419" s="3" t="str">
        <f>"男"</f>
        <v>男</v>
      </c>
      <c r="E1419" s="3" t="str">
        <f>"2507014922"</f>
        <v>2507014922</v>
      </c>
      <c r="F1419" s="3" t="str">
        <f t="shared" si="141"/>
        <v>49</v>
      </c>
      <c r="G1419" s="4" t="str">
        <f>"22"</f>
        <v>22</v>
      </c>
      <c r="H1419" s="5">
        <v>77.4</v>
      </c>
      <c r="I1419" s="3"/>
    </row>
    <row r="1420" customHeight="1" spans="1:9">
      <c r="A1420" s="3" t="str">
        <f t="shared" si="138"/>
        <v>0106</v>
      </c>
      <c r="B1420" s="3" t="s">
        <v>20</v>
      </c>
      <c r="C1420" s="3" t="str">
        <f>"智文全"</f>
        <v>智文全</v>
      </c>
      <c r="D1420" s="3" t="str">
        <f>"男"</f>
        <v>男</v>
      </c>
      <c r="E1420" s="3" t="str">
        <f>"2507014923"</f>
        <v>2507014923</v>
      </c>
      <c r="F1420" s="3" t="str">
        <f t="shared" si="141"/>
        <v>49</v>
      </c>
      <c r="G1420" s="4" t="str">
        <f>"23"</f>
        <v>23</v>
      </c>
      <c r="H1420" s="5">
        <v>0</v>
      </c>
      <c r="I1420" s="3" t="s">
        <v>11</v>
      </c>
    </row>
    <row r="1421" customHeight="1" spans="1:9">
      <c r="A1421" s="3" t="str">
        <f t="shared" si="138"/>
        <v>0106</v>
      </c>
      <c r="B1421" s="3" t="s">
        <v>20</v>
      </c>
      <c r="C1421" s="3" t="str">
        <f>"相然"</f>
        <v>相然</v>
      </c>
      <c r="D1421" s="3" t="str">
        <f>"女"</f>
        <v>女</v>
      </c>
      <c r="E1421" s="3" t="str">
        <f>"2507014924"</f>
        <v>2507014924</v>
      </c>
      <c r="F1421" s="3" t="str">
        <f t="shared" si="141"/>
        <v>49</v>
      </c>
      <c r="G1421" s="4" t="str">
        <f>"24"</f>
        <v>24</v>
      </c>
      <c r="H1421" s="5">
        <v>78</v>
      </c>
      <c r="I1421" s="3"/>
    </row>
    <row r="1422" customHeight="1" spans="1:9">
      <c r="A1422" s="3" t="str">
        <f t="shared" si="138"/>
        <v>0106</v>
      </c>
      <c r="B1422" s="3" t="s">
        <v>20</v>
      </c>
      <c r="C1422" s="3" t="str">
        <f>"马涛"</f>
        <v>马涛</v>
      </c>
      <c r="D1422" s="3" t="str">
        <f t="shared" ref="D1422:D1427" si="142">"男"</f>
        <v>男</v>
      </c>
      <c r="E1422" s="3" t="str">
        <f>"2507014925"</f>
        <v>2507014925</v>
      </c>
      <c r="F1422" s="3" t="str">
        <f t="shared" si="141"/>
        <v>49</v>
      </c>
      <c r="G1422" s="4" t="str">
        <f>"25"</f>
        <v>25</v>
      </c>
      <c r="H1422" s="5">
        <v>0</v>
      </c>
      <c r="I1422" s="3" t="s">
        <v>11</v>
      </c>
    </row>
    <row r="1423" customHeight="1" spans="1:9">
      <c r="A1423" s="3" t="str">
        <f t="shared" si="138"/>
        <v>0106</v>
      </c>
      <c r="B1423" s="3" t="s">
        <v>20</v>
      </c>
      <c r="C1423" s="3" t="str">
        <f>"张东"</f>
        <v>张东</v>
      </c>
      <c r="D1423" s="3" t="str">
        <f t="shared" si="142"/>
        <v>男</v>
      </c>
      <c r="E1423" s="3" t="str">
        <f>"2507014926"</f>
        <v>2507014926</v>
      </c>
      <c r="F1423" s="3" t="str">
        <f t="shared" si="141"/>
        <v>49</v>
      </c>
      <c r="G1423" s="4" t="str">
        <f>"26"</f>
        <v>26</v>
      </c>
      <c r="H1423" s="5">
        <v>0</v>
      </c>
      <c r="I1423" s="3" t="s">
        <v>11</v>
      </c>
    </row>
    <row r="1424" customHeight="1" spans="1:9">
      <c r="A1424" s="3" t="str">
        <f t="shared" si="138"/>
        <v>0106</v>
      </c>
      <c r="B1424" s="3" t="s">
        <v>20</v>
      </c>
      <c r="C1424" s="3" t="str">
        <f>"徐烁烁"</f>
        <v>徐烁烁</v>
      </c>
      <c r="D1424" s="3" t="str">
        <f t="shared" si="142"/>
        <v>男</v>
      </c>
      <c r="E1424" s="3" t="str">
        <f>"2507014927"</f>
        <v>2507014927</v>
      </c>
      <c r="F1424" s="3" t="str">
        <f t="shared" si="141"/>
        <v>49</v>
      </c>
      <c r="G1424" s="4" t="str">
        <f>"27"</f>
        <v>27</v>
      </c>
      <c r="H1424" s="5">
        <v>72.6</v>
      </c>
      <c r="I1424" s="3"/>
    </row>
    <row r="1425" customHeight="1" spans="1:9">
      <c r="A1425" s="3" t="str">
        <f t="shared" si="138"/>
        <v>0106</v>
      </c>
      <c r="B1425" s="3" t="s">
        <v>20</v>
      </c>
      <c r="C1425" s="3" t="str">
        <f>"李保通"</f>
        <v>李保通</v>
      </c>
      <c r="D1425" s="3" t="str">
        <f t="shared" si="142"/>
        <v>男</v>
      </c>
      <c r="E1425" s="3" t="str">
        <f>"2507014928"</f>
        <v>2507014928</v>
      </c>
      <c r="F1425" s="3" t="str">
        <f t="shared" si="141"/>
        <v>49</v>
      </c>
      <c r="G1425" s="4" t="str">
        <f>"28"</f>
        <v>28</v>
      </c>
      <c r="H1425" s="5">
        <v>71.2</v>
      </c>
      <c r="I1425" s="3"/>
    </row>
    <row r="1426" customHeight="1" spans="1:9">
      <c r="A1426" s="3" t="str">
        <f t="shared" si="138"/>
        <v>0106</v>
      </c>
      <c r="B1426" s="3" t="s">
        <v>20</v>
      </c>
      <c r="C1426" s="3" t="str">
        <f>"郜振龙"</f>
        <v>郜振龙</v>
      </c>
      <c r="D1426" s="3" t="str">
        <f t="shared" si="142"/>
        <v>男</v>
      </c>
      <c r="E1426" s="3" t="str">
        <f>"2507014929"</f>
        <v>2507014929</v>
      </c>
      <c r="F1426" s="3" t="str">
        <f t="shared" si="141"/>
        <v>49</v>
      </c>
      <c r="G1426" s="4" t="str">
        <f>"29"</f>
        <v>29</v>
      </c>
      <c r="H1426" s="5">
        <v>74.6</v>
      </c>
      <c r="I1426" s="3"/>
    </row>
    <row r="1427" customHeight="1" spans="1:9">
      <c r="A1427" s="3" t="str">
        <f t="shared" si="138"/>
        <v>0106</v>
      </c>
      <c r="B1427" s="3" t="s">
        <v>20</v>
      </c>
      <c r="C1427" s="3" t="str">
        <f>"王瀚"</f>
        <v>王瀚</v>
      </c>
      <c r="D1427" s="3" t="str">
        <f t="shared" si="142"/>
        <v>男</v>
      </c>
      <c r="E1427" s="3" t="str">
        <f>"2507014930"</f>
        <v>2507014930</v>
      </c>
      <c r="F1427" s="3" t="str">
        <f t="shared" si="141"/>
        <v>49</v>
      </c>
      <c r="G1427" s="4" t="str">
        <f>"30"</f>
        <v>30</v>
      </c>
      <c r="H1427" s="5">
        <v>74.7</v>
      </c>
      <c r="I1427" s="3"/>
    </row>
    <row r="1428" customHeight="1" spans="1:9">
      <c r="A1428" s="3" t="str">
        <f t="shared" si="138"/>
        <v>0106</v>
      </c>
      <c r="B1428" s="3" t="s">
        <v>20</v>
      </c>
      <c r="C1428" s="3" t="str">
        <f>"郑杨蓓蕾"</f>
        <v>郑杨蓓蕾</v>
      </c>
      <c r="D1428" s="3" t="str">
        <f>"女"</f>
        <v>女</v>
      </c>
      <c r="E1428" s="3" t="str">
        <f>"2507014931"</f>
        <v>2507014931</v>
      </c>
      <c r="F1428" s="3" t="str">
        <f t="shared" si="141"/>
        <v>49</v>
      </c>
      <c r="G1428" s="4" t="str">
        <f>"31"</f>
        <v>31</v>
      </c>
      <c r="H1428" s="5">
        <v>0</v>
      </c>
      <c r="I1428" s="3" t="s">
        <v>11</v>
      </c>
    </row>
    <row r="1429" customHeight="1" spans="1:9">
      <c r="A1429" s="3" t="str">
        <f t="shared" si="138"/>
        <v>0106</v>
      </c>
      <c r="B1429" s="3" t="s">
        <v>20</v>
      </c>
      <c r="C1429" s="3" t="str">
        <f>"常红星"</f>
        <v>常红星</v>
      </c>
      <c r="D1429" s="3" t="str">
        <f t="shared" ref="D1429:D1436" si="143">"男"</f>
        <v>男</v>
      </c>
      <c r="E1429" s="3" t="str">
        <f>"2507015001"</f>
        <v>2507015001</v>
      </c>
      <c r="F1429" s="3" t="str">
        <f t="shared" ref="F1429:F1459" si="144">"50"</f>
        <v>50</v>
      </c>
      <c r="G1429" s="4" t="str">
        <f>"01"</f>
        <v>01</v>
      </c>
      <c r="H1429" s="5">
        <v>81.7</v>
      </c>
      <c r="I1429" s="3"/>
    </row>
    <row r="1430" customHeight="1" spans="1:9">
      <c r="A1430" s="3" t="str">
        <f t="shared" si="138"/>
        <v>0106</v>
      </c>
      <c r="B1430" s="3" t="s">
        <v>20</v>
      </c>
      <c r="C1430" s="3" t="str">
        <f>"徐建爱"</f>
        <v>徐建爱</v>
      </c>
      <c r="D1430" s="3" t="str">
        <f t="shared" si="143"/>
        <v>男</v>
      </c>
      <c r="E1430" s="3" t="str">
        <f>"2507015002"</f>
        <v>2507015002</v>
      </c>
      <c r="F1430" s="3" t="str">
        <f t="shared" si="144"/>
        <v>50</v>
      </c>
      <c r="G1430" s="4" t="str">
        <f>"02"</f>
        <v>02</v>
      </c>
      <c r="H1430" s="5">
        <v>78.4</v>
      </c>
      <c r="I1430" s="3"/>
    </row>
    <row r="1431" customHeight="1" spans="1:9">
      <c r="A1431" s="3" t="str">
        <f t="shared" ref="A1431:A1494" si="145">"0106"</f>
        <v>0106</v>
      </c>
      <c r="B1431" s="3" t="s">
        <v>20</v>
      </c>
      <c r="C1431" s="3" t="str">
        <f>"邓邯"</f>
        <v>邓邯</v>
      </c>
      <c r="D1431" s="3" t="str">
        <f t="shared" si="143"/>
        <v>男</v>
      </c>
      <c r="E1431" s="3" t="str">
        <f>"2507015003"</f>
        <v>2507015003</v>
      </c>
      <c r="F1431" s="3" t="str">
        <f t="shared" si="144"/>
        <v>50</v>
      </c>
      <c r="G1431" s="4" t="str">
        <f>"03"</f>
        <v>03</v>
      </c>
      <c r="H1431" s="5">
        <v>69.2</v>
      </c>
      <c r="I1431" s="3"/>
    </row>
    <row r="1432" customHeight="1" spans="1:9">
      <c r="A1432" s="3" t="str">
        <f t="shared" si="145"/>
        <v>0106</v>
      </c>
      <c r="B1432" s="3" t="s">
        <v>20</v>
      </c>
      <c r="C1432" s="3" t="str">
        <f>"武浩然"</f>
        <v>武浩然</v>
      </c>
      <c r="D1432" s="3" t="str">
        <f t="shared" si="143"/>
        <v>男</v>
      </c>
      <c r="E1432" s="3" t="str">
        <f>"2507015004"</f>
        <v>2507015004</v>
      </c>
      <c r="F1432" s="3" t="str">
        <f t="shared" si="144"/>
        <v>50</v>
      </c>
      <c r="G1432" s="4" t="str">
        <f>"04"</f>
        <v>04</v>
      </c>
      <c r="H1432" s="5">
        <v>65.7</v>
      </c>
      <c r="I1432" s="3"/>
    </row>
    <row r="1433" customHeight="1" spans="1:9">
      <c r="A1433" s="3" t="str">
        <f t="shared" si="145"/>
        <v>0106</v>
      </c>
      <c r="B1433" s="3" t="s">
        <v>20</v>
      </c>
      <c r="C1433" s="3" t="str">
        <f>"李森"</f>
        <v>李森</v>
      </c>
      <c r="D1433" s="3" t="str">
        <f t="shared" si="143"/>
        <v>男</v>
      </c>
      <c r="E1433" s="3" t="str">
        <f>"2507015005"</f>
        <v>2507015005</v>
      </c>
      <c r="F1433" s="3" t="str">
        <f t="shared" si="144"/>
        <v>50</v>
      </c>
      <c r="G1433" s="4" t="str">
        <f>"05"</f>
        <v>05</v>
      </c>
      <c r="H1433" s="5">
        <v>0</v>
      </c>
      <c r="I1433" s="3" t="s">
        <v>11</v>
      </c>
    </row>
    <row r="1434" customHeight="1" spans="1:9">
      <c r="A1434" s="3" t="str">
        <f t="shared" si="145"/>
        <v>0106</v>
      </c>
      <c r="B1434" s="3" t="s">
        <v>20</v>
      </c>
      <c r="C1434" s="3" t="str">
        <f>"韩正尚"</f>
        <v>韩正尚</v>
      </c>
      <c r="D1434" s="3" t="str">
        <f t="shared" si="143"/>
        <v>男</v>
      </c>
      <c r="E1434" s="3" t="str">
        <f>"2507015006"</f>
        <v>2507015006</v>
      </c>
      <c r="F1434" s="3" t="str">
        <f t="shared" si="144"/>
        <v>50</v>
      </c>
      <c r="G1434" s="4" t="str">
        <f>"06"</f>
        <v>06</v>
      </c>
      <c r="H1434" s="5">
        <v>0</v>
      </c>
      <c r="I1434" s="3" t="s">
        <v>11</v>
      </c>
    </row>
    <row r="1435" customHeight="1" spans="1:9">
      <c r="A1435" s="3" t="str">
        <f t="shared" si="145"/>
        <v>0106</v>
      </c>
      <c r="B1435" s="3" t="s">
        <v>20</v>
      </c>
      <c r="C1435" s="3" t="str">
        <f>"王司宇"</f>
        <v>王司宇</v>
      </c>
      <c r="D1435" s="3" t="str">
        <f t="shared" si="143"/>
        <v>男</v>
      </c>
      <c r="E1435" s="3" t="str">
        <f>"2507015007"</f>
        <v>2507015007</v>
      </c>
      <c r="F1435" s="3" t="str">
        <f t="shared" si="144"/>
        <v>50</v>
      </c>
      <c r="G1435" s="4" t="str">
        <f>"07"</f>
        <v>07</v>
      </c>
      <c r="H1435" s="5">
        <v>78.3</v>
      </c>
      <c r="I1435" s="3"/>
    </row>
    <row r="1436" customHeight="1" spans="1:9">
      <c r="A1436" s="3" t="str">
        <f t="shared" si="145"/>
        <v>0106</v>
      </c>
      <c r="B1436" s="3" t="s">
        <v>20</v>
      </c>
      <c r="C1436" s="3" t="str">
        <f>"陈忠泉"</f>
        <v>陈忠泉</v>
      </c>
      <c r="D1436" s="3" t="str">
        <f t="shared" si="143"/>
        <v>男</v>
      </c>
      <c r="E1436" s="3" t="str">
        <f>"2507015008"</f>
        <v>2507015008</v>
      </c>
      <c r="F1436" s="3" t="str">
        <f t="shared" si="144"/>
        <v>50</v>
      </c>
      <c r="G1436" s="4" t="str">
        <f>"08"</f>
        <v>08</v>
      </c>
      <c r="H1436" s="5">
        <v>0</v>
      </c>
      <c r="I1436" s="3" t="s">
        <v>11</v>
      </c>
    </row>
    <row r="1437" customHeight="1" spans="1:9">
      <c r="A1437" s="3" t="str">
        <f t="shared" si="145"/>
        <v>0106</v>
      </c>
      <c r="B1437" s="3" t="s">
        <v>20</v>
      </c>
      <c r="C1437" s="3" t="str">
        <f>"马培肖"</f>
        <v>马培肖</v>
      </c>
      <c r="D1437" s="3" t="str">
        <f>"女"</f>
        <v>女</v>
      </c>
      <c r="E1437" s="3" t="str">
        <f>"2507015009"</f>
        <v>2507015009</v>
      </c>
      <c r="F1437" s="3" t="str">
        <f t="shared" si="144"/>
        <v>50</v>
      </c>
      <c r="G1437" s="4" t="str">
        <f>"09"</f>
        <v>09</v>
      </c>
      <c r="H1437" s="5">
        <v>65.2</v>
      </c>
      <c r="I1437" s="3"/>
    </row>
    <row r="1438" customHeight="1" spans="1:9">
      <c r="A1438" s="3" t="str">
        <f t="shared" si="145"/>
        <v>0106</v>
      </c>
      <c r="B1438" s="3" t="s">
        <v>20</v>
      </c>
      <c r="C1438" s="3" t="str">
        <f>"史静"</f>
        <v>史静</v>
      </c>
      <c r="D1438" s="3" t="str">
        <f>"女"</f>
        <v>女</v>
      </c>
      <c r="E1438" s="3" t="str">
        <f>"2507015010"</f>
        <v>2507015010</v>
      </c>
      <c r="F1438" s="3" t="str">
        <f t="shared" si="144"/>
        <v>50</v>
      </c>
      <c r="G1438" s="4" t="str">
        <f>"10"</f>
        <v>10</v>
      </c>
      <c r="H1438" s="5">
        <v>47.8</v>
      </c>
      <c r="I1438" s="3"/>
    </row>
    <row r="1439" customHeight="1" spans="1:9">
      <c r="A1439" s="3" t="str">
        <f t="shared" si="145"/>
        <v>0106</v>
      </c>
      <c r="B1439" s="3" t="s">
        <v>20</v>
      </c>
      <c r="C1439" s="3" t="str">
        <f>"陈潜"</f>
        <v>陈潜</v>
      </c>
      <c r="D1439" s="3" t="str">
        <f>"男"</f>
        <v>男</v>
      </c>
      <c r="E1439" s="3" t="str">
        <f>"2507015011"</f>
        <v>2507015011</v>
      </c>
      <c r="F1439" s="3" t="str">
        <f t="shared" si="144"/>
        <v>50</v>
      </c>
      <c r="G1439" s="4" t="str">
        <f>"11"</f>
        <v>11</v>
      </c>
      <c r="H1439" s="5">
        <v>0</v>
      </c>
      <c r="I1439" s="3" t="s">
        <v>11</v>
      </c>
    </row>
    <row r="1440" customHeight="1" spans="1:9">
      <c r="A1440" s="3" t="str">
        <f t="shared" si="145"/>
        <v>0106</v>
      </c>
      <c r="B1440" s="3" t="s">
        <v>20</v>
      </c>
      <c r="C1440" s="3" t="str">
        <f>"刘瑞祥"</f>
        <v>刘瑞祥</v>
      </c>
      <c r="D1440" s="3" t="str">
        <f>"男"</f>
        <v>男</v>
      </c>
      <c r="E1440" s="3" t="str">
        <f>"2507015012"</f>
        <v>2507015012</v>
      </c>
      <c r="F1440" s="3" t="str">
        <f t="shared" si="144"/>
        <v>50</v>
      </c>
      <c r="G1440" s="4" t="str">
        <f>"12"</f>
        <v>12</v>
      </c>
      <c r="H1440" s="5">
        <v>70.1</v>
      </c>
      <c r="I1440" s="3"/>
    </row>
    <row r="1441" customHeight="1" spans="1:9">
      <c r="A1441" s="3" t="str">
        <f t="shared" si="145"/>
        <v>0106</v>
      </c>
      <c r="B1441" s="3" t="s">
        <v>20</v>
      </c>
      <c r="C1441" s="3" t="str">
        <f>"杨紫顺"</f>
        <v>杨紫顺</v>
      </c>
      <c r="D1441" s="3" t="str">
        <f>"男"</f>
        <v>男</v>
      </c>
      <c r="E1441" s="3" t="str">
        <f>"2507015013"</f>
        <v>2507015013</v>
      </c>
      <c r="F1441" s="3" t="str">
        <f t="shared" si="144"/>
        <v>50</v>
      </c>
      <c r="G1441" s="4" t="str">
        <f>"13"</f>
        <v>13</v>
      </c>
      <c r="H1441" s="5">
        <v>69.7</v>
      </c>
      <c r="I1441" s="3"/>
    </row>
    <row r="1442" customHeight="1" spans="1:9">
      <c r="A1442" s="3" t="str">
        <f t="shared" si="145"/>
        <v>0106</v>
      </c>
      <c r="B1442" s="3" t="s">
        <v>20</v>
      </c>
      <c r="C1442" s="3" t="str">
        <f>"顾红一"</f>
        <v>顾红一</v>
      </c>
      <c r="D1442" s="3" t="str">
        <f>"女"</f>
        <v>女</v>
      </c>
      <c r="E1442" s="3" t="str">
        <f>"2507015014"</f>
        <v>2507015014</v>
      </c>
      <c r="F1442" s="3" t="str">
        <f t="shared" si="144"/>
        <v>50</v>
      </c>
      <c r="G1442" s="4" t="str">
        <f>"14"</f>
        <v>14</v>
      </c>
      <c r="H1442" s="5">
        <v>80.9</v>
      </c>
      <c r="I1442" s="3"/>
    </row>
    <row r="1443" customHeight="1" spans="1:9">
      <c r="A1443" s="3" t="str">
        <f t="shared" si="145"/>
        <v>0106</v>
      </c>
      <c r="B1443" s="3" t="s">
        <v>20</v>
      </c>
      <c r="C1443" s="3" t="str">
        <f>"吴佳颖"</f>
        <v>吴佳颖</v>
      </c>
      <c r="D1443" s="3" t="str">
        <f>"女"</f>
        <v>女</v>
      </c>
      <c r="E1443" s="3" t="str">
        <f>"2507015015"</f>
        <v>2507015015</v>
      </c>
      <c r="F1443" s="3" t="str">
        <f t="shared" si="144"/>
        <v>50</v>
      </c>
      <c r="G1443" s="4" t="str">
        <f>"15"</f>
        <v>15</v>
      </c>
      <c r="H1443" s="5">
        <v>0</v>
      </c>
      <c r="I1443" s="3" t="s">
        <v>11</v>
      </c>
    </row>
    <row r="1444" customHeight="1" spans="1:9">
      <c r="A1444" s="3" t="str">
        <f t="shared" si="145"/>
        <v>0106</v>
      </c>
      <c r="B1444" s="3" t="s">
        <v>20</v>
      </c>
      <c r="C1444" s="3" t="str">
        <f>"肖奥运"</f>
        <v>肖奥运</v>
      </c>
      <c r="D1444" s="3" t="str">
        <f>"男"</f>
        <v>男</v>
      </c>
      <c r="E1444" s="3" t="str">
        <f>"2507015016"</f>
        <v>2507015016</v>
      </c>
      <c r="F1444" s="3" t="str">
        <f t="shared" si="144"/>
        <v>50</v>
      </c>
      <c r="G1444" s="4" t="str">
        <f>"16"</f>
        <v>16</v>
      </c>
      <c r="H1444" s="5">
        <v>69</v>
      </c>
      <c r="I1444" s="3"/>
    </row>
    <row r="1445" customHeight="1" spans="1:9">
      <c r="A1445" s="3" t="str">
        <f t="shared" si="145"/>
        <v>0106</v>
      </c>
      <c r="B1445" s="3" t="s">
        <v>20</v>
      </c>
      <c r="C1445" s="3" t="str">
        <f>"万思柔"</f>
        <v>万思柔</v>
      </c>
      <c r="D1445" s="3" t="str">
        <f>"女"</f>
        <v>女</v>
      </c>
      <c r="E1445" s="3" t="str">
        <f>"2507015017"</f>
        <v>2507015017</v>
      </c>
      <c r="F1445" s="3" t="str">
        <f t="shared" si="144"/>
        <v>50</v>
      </c>
      <c r="G1445" s="4" t="str">
        <f>"17"</f>
        <v>17</v>
      </c>
      <c r="H1445" s="5">
        <v>77.2</v>
      </c>
      <c r="I1445" s="3"/>
    </row>
    <row r="1446" customHeight="1" spans="1:9">
      <c r="A1446" s="3" t="str">
        <f t="shared" si="145"/>
        <v>0106</v>
      </c>
      <c r="B1446" s="3" t="s">
        <v>20</v>
      </c>
      <c r="C1446" s="3" t="str">
        <f>"蔡贝贝"</f>
        <v>蔡贝贝</v>
      </c>
      <c r="D1446" s="3" t="str">
        <f t="shared" ref="D1446:D1455" si="146">"男"</f>
        <v>男</v>
      </c>
      <c r="E1446" s="3" t="str">
        <f>"2507015018"</f>
        <v>2507015018</v>
      </c>
      <c r="F1446" s="3" t="str">
        <f t="shared" si="144"/>
        <v>50</v>
      </c>
      <c r="G1446" s="4" t="str">
        <f>"18"</f>
        <v>18</v>
      </c>
      <c r="H1446" s="5">
        <v>0</v>
      </c>
      <c r="I1446" s="3" t="s">
        <v>11</v>
      </c>
    </row>
    <row r="1447" customHeight="1" spans="1:9">
      <c r="A1447" s="3" t="str">
        <f t="shared" si="145"/>
        <v>0106</v>
      </c>
      <c r="B1447" s="3" t="s">
        <v>20</v>
      </c>
      <c r="C1447" s="3" t="str">
        <f>"孟子扬"</f>
        <v>孟子扬</v>
      </c>
      <c r="D1447" s="3" t="str">
        <f t="shared" si="146"/>
        <v>男</v>
      </c>
      <c r="E1447" s="3" t="str">
        <f>"2507015019"</f>
        <v>2507015019</v>
      </c>
      <c r="F1447" s="3" t="str">
        <f t="shared" si="144"/>
        <v>50</v>
      </c>
      <c r="G1447" s="4" t="str">
        <f>"19"</f>
        <v>19</v>
      </c>
      <c r="H1447" s="5">
        <v>0</v>
      </c>
      <c r="I1447" s="3" t="s">
        <v>11</v>
      </c>
    </row>
    <row r="1448" customHeight="1" spans="1:9">
      <c r="A1448" s="3" t="str">
        <f t="shared" si="145"/>
        <v>0106</v>
      </c>
      <c r="B1448" s="3" t="s">
        <v>20</v>
      </c>
      <c r="C1448" s="3" t="str">
        <f>"王帅君"</f>
        <v>王帅君</v>
      </c>
      <c r="D1448" s="3" t="str">
        <f t="shared" si="146"/>
        <v>男</v>
      </c>
      <c r="E1448" s="3" t="str">
        <f>"2507015020"</f>
        <v>2507015020</v>
      </c>
      <c r="F1448" s="3" t="str">
        <f t="shared" si="144"/>
        <v>50</v>
      </c>
      <c r="G1448" s="4" t="str">
        <f>"20"</f>
        <v>20</v>
      </c>
      <c r="H1448" s="5">
        <v>0</v>
      </c>
      <c r="I1448" s="3" t="s">
        <v>11</v>
      </c>
    </row>
    <row r="1449" customHeight="1" spans="1:9">
      <c r="A1449" s="3" t="str">
        <f t="shared" si="145"/>
        <v>0106</v>
      </c>
      <c r="B1449" s="3" t="s">
        <v>20</v>
      </c>
      <c r="C1449" s="3" t="str">
        <f>"王炯森"</f>
        <v>王炯森</v>
      </c>
      <c r="D1449" s="3" t="str">
        <f t="shared" si="146"/>
        <v>男</v>
      </c>
      <c r="E1449" s="3" t="str">
        <f>"2507015021"</f>
        <v>2507015021</v>
      </c>
      <c r="F1449" s="3" t="str">
        <f t="shared" si="144"/>
        <v>50</v>
      </c>
      <c r="G1449" s="4" t="str">
        <f>"21"</f>
        <v>21</v>
      </c>
      <c r="H1449" s="5">
        <v>0</v>
      </c>
      <c r="I1449" s="3" t="s">
        <v>11</v>
      </c>
    </row>
    <row r="1450" customHeight="1" spans="1:9">
      <c r="A1450" s="3" t="str">
        <f t="shared" si="145"/>
        <v>0106</v>
      </c>
      <c r="B1450" s="3" t="s">
        <v>20</v>
      </c>
      <c r="C1450" s="3" t="str">
        <f>"乔元凯"</f>
        <v>乔元凯</v>
      </c>
      <c r="D1450" s="3" t="str">
        <f t="shared" si="146"/>
        <v>男</v>
      </c>
      <c r="E1450" s="3" t="str">
        <f>"2507015022"</f>
        <v>2507015022</v>
      </c>
      <c r="F1450" s="3" t="str">
        <f t="shared" si="144"/>
        <v>50</v>
      </c>
      <c r="G1450" s="4" t="str">
        <f>"22"</f>
        <v>22</v>
      </c>
      <c r="H1450" s="5">
        <v>0</v>
      </c>
      <c r="I1450" s="3" t="s">
        <v>11</v>
      </c>
    </row>
    <row r="1451" customHeight="1" spans="1:9">
      <c r="A1451" s="3" t="str">
        <f t="shared" si="145"/>
        <v>0106</v>
      </c>
      <c r="B1451" s="3" t="s">
        <v>20</v>
      </c>
      <c r="C1451" s="3" t="str">
        <f>"赵慎聪"</f>
        <v>赵慎聪</v>
      </c>
      <c r="D1451" s="3" t="str">
        <f t="shared" si="146"/>
        <v>男</v>
      </c>
      <c r="E1451" s="3" t="str">
        <f>"2507015023"</f>
        <v>2507015023</v>
      </c>
      <c r="F1451" s="3" t="str">
        <f t="shared" si="144"/>
        <v>50</v>
      </c>
      <c r="G1451" s="4" t="str">
        <f>"23"</f>
        <v>23</v>
      </c>
      <c r="H1451" s="5">
        <v>72.7</v>
      </c>
      <c r="I1451" s="3"/>
    </row>
    <row r="1452" customHeight="1" spans="1:9">
      <c r="A1452" s="3" t="str">
        <f t="shared" si="145"/>
        <v>0106</v>
      </c>
      <c r="B1452" s="3" t="s">
        <v>20</v>
      </c>
      <c r="C1452" s="3" t="str">
        <f>"宋子豪"</f>
        <v>宋子豪</v>
      </c>
      <c r="D1452" s="3" t="str">
        <f t="shared" si="146"/>
        <v>男</v>
      </c>
      <c r="E1452" s="3" t="str">
        <f>"2507015024"</f>
        <v>2507015024</v>
      </c>
      <c r="F1452" s="3" t="str">
        <f t="shared" si="144"/>
        <v>50</v>
      </c>
      <c r="G1452" s="4" t="str">
        <f>"24"</f>
        <v>24</v>
      </c>
      <c r="H1452" s="5">
        <v>81.9</v>
      </c>
      <c r="I1452" s="3"/>
    </row>
    <row r="1453" customHeight="1" spans="1:9">
      <c r="A1453" s="3" t="str">
        <f t="shared" si="145"/>
        <v>0106</v>
      </c>
      <c r="B1453" s="3" t="s">
        <v>20</v>
      </c>
      <c r="C1453" s="3" t="str">
        <f>"邱文广"</f>
        <v>邱文广</v>
      </c>
      <c r="D1453" s="3" t="str">
        <f t="shared" si="146"/>
        <v>男</v>
      </c>
      <c r="E1453" s="3" t="str">
        <f>"2507015025"</f>
        <v>2507015025</v>
      </c>
      <c r="F1453" s="3" t="str">
        <f t="shared" si="144"/>
        <v>50</v>
      </c>
      <c r="G1453" s="4" t="str">
        <f>"25"</f>
        <v>25</v>
      </c>
      <c r="H1453" s="5">
        <v>79.7</v>
      </c>
      <c r="I1453" s="3"/>
    </row>
    <row r="1454" customHeight="1" spans="1:9">
      <c r="A1454" s="3" t="str">
        <f t="shared" si="145"/>
        <v>0106</v>
      </c>
      <c r="B1454" s="3" t="s">
        <v>20</v>
      </c>
      <c r="C1454" s="3" t="str">
        <f>"王毅"</f>
        <v>王毅</v>
      </c>
      <c r="D1454" s="3" t="str">
        <f t="shared" si="146"/>
        <v>男</v>
      </c>
      <c r="E1454" s="3" t="str">
        <f>"2507015026"</f>
        <v>2507015026</v>
      </c>
      <c r="F1454" s="3" t="str">
        <f t="shared" si="144"/>
        <v>50</v>
      </c>
      <c r="G1454" s="4" t="str">
        <f>"26"</f>
        <v>26</v>
      </c>
      <c r="H1454" s="5">
        <v>79.8</v>
      </c>
      <c r="I1454" s="3"/>
    </row>
    <row r="1455" customHeight="1" spans="1:9">
      <c r="A1455" s="3" t="str">
        <f t="shared" si="145"/>
        <v>0106</v>
      </c>
      <c r="B1455" s="3" t="s">
        <v>20</v>
      </c>
      <c r="C1455" s="3" t="str">
        <f>"肖天意"</f>
        <v>肖天意</v>
      </c>
      <c r="D1455" s="3" t="str">
        <f t="shared" si="146"/>
        <v>男</v>
      </c>
      <c r="E1455" s="3" t="str">
        <f>"2507015027"</f>
        <v>2507015027</v>
      </c>
      <c r="F1455" s="3" t="str">
        <f t="shared" si="144"/>
        <v>50</v>
      </c>
      <c r="G1455" s="4" t="str">
        <f>"27"</f>
        <v>27</v>
      </c>
      <c r="H1455" s="5">
        <v>87.9</v>
      </c>
      <c r="I1455" s="3"/>
    </row>
    <row r="1456" customHeight="1" spans="1:9">
      <c r="A1456" s="3" t="str">
        <f t="shared" si="145"/>
        <v>0106</v>
      </c>
      <c r="B1456" s="3" t="s">
        <v>20</v>
      </c>
      <c r="C1456" s="3" t="str">
        <f>"邢思曼"</f>
        <v>邢思曼</v>
      </c>
      <c r="D1456" s="3" t="str">
        <f>"女"</f>
        <v>女</v>
      </c>
      <c r="E1456" s="3" t="str">
        <f>"2507015028"</f>
        <v>2507015028</v>
      </c>
      <c r="F1456" s="3" t="str">
        <f t="shared" si="144"/>
        <v>50</v>
      </c>
      <c r="G1456" s="4" t="str">
        <f>"28"</f>
        <v>28</v>
      </c>
      <c r="H1456" s="5">
        <v>0</v>
      </c>
      <c r="I1456" s="3" t="s">
        <v>11</v>
      </c>
    </row>
    <row r="1457" customHeight="1" spans="1:9">
      <c r="A1457" s="3" t="str">
        <f t="shared" si="145"/>
        <v>0106</v>
      </c>
      <c r="B1457" s="3" t="s">
        <v>20</v>
      </c>
      <c r="C1457" s="3" t="str">
        <f>"蔡志国"</f>
        <v>蔡志国</v>
      </c>
      <c r="D1457" s="3" t="str">
        <f>"男"</f>
        <v>男</v>
      </c>
      <c r="E1457" s="3" t="str">
        <f>"2507015029"</f>
        <v>2507015029</v>
      </c>
      <c r="F1457" s="3" t="str">
        <f t="shared" si="144"/>
        <v>50</v>
      </c>
      <c r="G1457" s="4" t="str">
        <f>"29"</f>
        <v>29</v>
      </c>
      <c r="H1457" s="5">
        <v>77.2</v>
      </c>
      <c r="I1457" s="3"/>
    </row>
    <row r="1458" customHeight="1" spans="1:9">
      <c r="A1458" s="3" t="str">
        <f t="shared" si="145"/>
        <v>0106</v>
      </c>
      <c r="B1458" s="3" t="s">
        <v>20</v>
      </c>
      <c r="C1458" s="3" t="str">
        <f>"于小桐"</f>
        <v>于小桐</v>
      </c>
      <c r="D1458" s="3" t="str">
        <f>"女"</f>
        <v>女</v>
      </c>
      <c r="E1458" s="3" t="str">
        <f>"2507015030"</f>
        <v>2507015030</v>
      </c>
      <c r="F1458" s="3" t="str">
        <f t="shared" si="144"/>
        <v>50</v>
      </c>
      <c r="G1458" s="4" t="str">
        <f>"30"</f>
        <v>30</v>
      </c>
      <c r="H1458" s="5">
        <v>0</v>
      </c>
      <c r="I1458" s="3" t="s">
        <v>11</v>
      </c>
    </row>
    <row r="1459" customHeight="1" spans="1:9">
      <c r="A1459" s="3" t="str">
        <f t="shared" si="145"/>
        <v>0106</v>
      </c>
      <c r="B1459" s="3" t="s">
        <v>20</v>
      </c>
      <c r="C1459" s="3" t="str">
        <f>"刘耀蔚"</f>
        <v>刘耀蔚</v>
      </c>
      <c r="D1459" s="3" t="str">
        <f>"女"</f>
        <v>女</v>
      </c>
      <c r="E1459" s="3" t="str">
        <f>"2507015031"</f>
        <v>2507015031</v>
      </c>
      <c r="F1459" s="3" t="str">
        <f t="shared" si="144"/>
        <v>50</v>
      </c>
      <c r="G1459" s="4" t="str">
        <f>"31"</f>
        <v>31</v>
      </c>
      <c r="H1459" s="5">
        <v>82.8</v>
      </c>
      <c r="I1459" s="3"/>
    </row>
    <row r="1460" customHeight="1" spans="1:9">
      <c r="A1460" s="3" t="str">
        <f t="shared" si="145"/>
        <v>0106</v>
      </c>
      <c r="B1460" s="3" t="s">
        <v>20</v>
      </c>
      <c r="C1460" s="3" t="str">
        <f>"李先浩"</f>
        <v>李先浩</v>
      </c>
      <c r="D1460" s="3" t="str">
        <f>"男"</f>
        <v>男</v>
      </c>
      <c r="E1460" s="3" t="str">
        <f>"2507015101"</f>
        <v>2507015101</v>
      </c>
      <c r="F1460" s="3" t="str">
        <f t="shared" ref="F1460:F1490" si="147">"51"</f>
        <v>51</v>
      </c>
      <c r="G1460" s="4" t="str">
        <f>"01"</f>
        <v>01</v>
      </c>
      <c r="H1460" s="5">
        <v>0</v>
      </c>
      <c r="I1460" s="3" t="s">
        <v>11</v>
      </c>
    </row>
    <row r="1461" customHeight="1" spans="1:9">
      <c r="A1461" s="3" t="str">
        <f t="shared" si="145"/>
        <v>0106</v>
      </c>
      <c r="B1461" s="3" t="s">
        <v>20</v>
      </c>
      <c r="C1461" s="3" t="str">
        <f>"赵诗澳"</f>
        <v>赵诗澳</v>
      </c>
      <c r="D1461" s="3" t="str">
        <f>"男"</f>
        <v>男</v>
      </c>
      <c r="E1461" s="3" t="str">
        <f>"2507015102"</f>
        <v>2507015102</v>
      </c>
      <c r="F1461" s="3" t="str">
        <f t="shared" si="147"/>
        <v>51</v>
      </c>
      <c r="G1461" s="4" t="str">
        <f>"02"</f>
        <v>02</v>
      </c>
      <c r="H1461" s="5">
        <v>68.8</v>
      </c>
      <c r="I1461" s="3"/>
    </row>
    <row r="1462" customHeight="1" spans="1:9">
      <c r="A1462" s="3" t="str">
        <f t="shared" si="145"/>
        <v>0106</v>
      </c>
      <c r="B1462" s="3" t="s">
        <v>20</v>
      </c>
      <c r="C1462" s="3" t="str">
        <f>"杨明秀"</f>
        <v>杨明秀</v>
      </c>
      <c r="D1462" s="3" t="str">
        <f>"女"</f>
        <v>女</v>
      </c>
      <c r="E1462" s="3" t="str">
        <f>"2507015103"</f>
        <v>2507015103</v>
      </c>
      <c r="F1462" s="3" t="str">
        <f t="shared" si="147"/>
        <v>51</v>
      </c>
      <c r="G1462" s="4" t="str">
        <f>"03"</f>
        <v>03</v>
      </c>
      <c r="H1462" s="5">
        <v>75.7</v>
      </c>
      <c r="I1462" s="3"/>
    </row>
    <row r="1463" customHeight="1" spans="1:9">
      <c r="A1463" s="3" t="str">
        <f t="shared" si="145"/>
        <v>0106</v>
      </c>
      <c r="B1463" s="3" t="s">
        <v>20</v>
      </c>
      <c r="C1463" s="3" t="str">
        <f>"高峰"</f>
        <v>高峰</v>
      </c>
      <c r="D1463" s="3" t="str">
        <f>"男"</f>
        <v>男</v>
      </c>
      <c r="E1463" s="3" t="str">
        <f>"2507015104"</f>
        <v>2507015104</v>
      </c>
      <c r="F1463" s="3" t="str">
        <f t="shared" si="147"/>
        <v>51</v>
      </c>
      <c r="G1463" s="4" t="str">
        <f>"04"</f>
        <v>04</v>
      </c>
      <c r="H1463" s="5">
        <v>75</v>
      </c>
      <c r="I1463" s="3"/>
    </row>
    <row r="1464" customHeight="1" spans="1:9">
      <c r="A1464" s="3" t="str">
        <f t="shared" si="145"/>
        <v>0106</v>
      </c>
      <c r="B1464" s="3" t="s">
        <v>20</v>
      </c>
      <c r="C1464" s="3" t="str">
        <f>"马倩"</f>
        <v>马倩</v>
      </c>
      <c r="D1464" s="3" t="str">
        <f>"女"</f>
        <v>女</v>
      </c>
      <c r="E1464" s="3" t="str">
        <f>"2507015105"</f>
        <v>2507015105</v>
      </c>
      <c r="F1464" s="3" t="str">
        <f t="shared" si="147"/>
        <v>51</v>
      </c>
      <c r="G1464" s="4" t="str">
        <f>"05"</f>
        <v>05</v>
      </c>
      <c r="H1464" s="5">
        <v>0</v>
      </c>
      <c r="I1464" s="3" t="s">
        <v>11</v>
      </c>
    </row>
    <row r="1465" customHeight="1" spans="1:9">
      <c r="A1465" s="3" t="str">
        <f t="shared" si="145"/>
        <v>0106</v>
      </c>
      <c r="B1465" s="3" t="s">
        <v>20</v>
      </c>
      <c r="C1465" s="3" t="str">
        <f>"王文慧"</f>
        <v>王文慧</v>
      </c>
      <c r="D1465" s="3" t="str">
        <f>"女"</f>
        <v>女</v>
      </c>
      <c r="E1465" s="3" t="str">
        <f>"2507015106"</f>
        <v>2507015106</v>
      </c>
      <c r="F1465" s="3" t="str">
        <f t="shared" si="147"/>
        <v>51</v>
      </c>
      <c r="G1465" s="4" t="str">
        <f>"06"</f>
        <v>06</v>
      </c>
      <c r="H1465" s="5">
        <v>0</v>
      </c>
      <c r="I1465" s="3" t="s">
        <v>11</v>
      </c>
    </row>
    <row r="1466" customHeight="1" spans="1:9">
      <c r="A1466" s="3" t="str">
        <f t="shared" si="145"/>
        <v>0106</v>
      </c>
      <c r="B1466" s="3" t="s">
        <v>20</v>
      </c>
      <c r="C1466" s="3" t="str">
        <f>"袁乾龙"</f>
        <v>袁乾龙</v>
      </c>
      <c r="D1466" s="3" t="str">
        <f t="shared" ref="D1466:D1472" si="148">"男"</f>
        <v>男</v>
      </c>
      <c r="E1466" s="3" t="str">
        <f>"2507015107"</f>
        <v>2507015107</v>
      </c>
      <c r="F1466" s="3" t="str">
        <f t="shared" si="147"/>
        <v>51</v>
      </c>
      <c r="G1466" s="4" t="str">
        <f>"07"</f>
        <v>07</v>
      </c>
      <c r="H1466" s="5">
        <v>83.1</v>
      </c>
      <c r="I1466" s="3"/>
    </row>
    <row r="1467" customHeight="1" spans="1:9">
      <c r="A1467" s="3" t="str">
        <f t="shared" si="145"/>
        <v>0106</v>
      </c>
      <c r="B1467" s="3" t="s">
        <v>20</v>
      </c>
      <c r="C1467" s="3" t="str">
        <f>"王文韬"</f>
        <v>王文韬</v>
      </c>
      <c r="D1467" s="3" t="str">
        <f t="shared" si="148"/>
        <v>男</v>
      </c>
      <c r="E1467" s="3" t="str">
        <f>"2507015108"</f>
        <v>2507015108</v>
      </c>
      <c r="F1467" s="3" t="str">
        <f t="shared" si="147"/>
        <v>51</v>
      </c>
      <c r="G1467" s="4" t="str">
        <f>"08"</f>
        <v>08</v>
      </c>
      <c r="H1467" s="5">
        <v>0</v>
      </c>
      <c r="I1467" s="3" t="s">
        <v>11</v>
      </c>
    </row>
    <row r="1468" customHeight="1" spans="1:9">
      <c r="A1468" s="3" t="str">
        <f t="shared" si="145"/>
        <v>0106</v>
      </c>
      <c r="B1468" s="3" t="s">
        <v>20</v>
      </c>
      <c r="C1468" s="3" t="str">
        <f>"刘达"</f>
        <v>刘达</v>
      </c>
      <c r="D1468" s="3" t="str">
        <f t="shared" si="148"/>
        <v>男</v>
      </c>
      <c r="E1468" s="3" t="str">
        <f>"2507015109"</f>
        <v>2507015109</v>
      </c>
      <c r="F1468" s="3" t="str">
        <f t="shared" si="147"/>
        <v>51</v>
      </c>
      <c r="G1468" s="4" t="str">
        <f>"09"</f>
        <v>09</v>
      </c>
      <c r="H1468" s="5">
        <v>0</v>
      </c>
      <c r="I1468" s="3" t="s">
        <v>11</v>
      </c>
    </row>
    <row r="1469" customHeight="1" spans="1:9">
      <c r="A1469" s="3" t="str">
        <f t="shared" si="145"/>
        <v>0106</v>
      </c>
      <c r="B1469" s="3" t="s">
        <v>20</v>
      </c>
      <c r="C1469" s="3" t="str">
        <f>"颜硕"</f>
        <v>颜硕</v>
      </c>
      <c r="D1469" s="3" t="str">
        <f t="shared" si="148"/>
        <v>男</v>
      </c>
      <c r="E1469" s="3" t="str">
        <f>"2507015110"</f>
        <v>2507015110</v>
      </c>
      <c r="F1469" s="3" t="str">
        <f t="shared" si="147"/>
        <v>51</v>
      </c>
      <c r="G1469" s="4" t="str">
        <f>"10"</f>
        <v>10</v>
      </c>
      <c r="H1469" s="5">
        <v>0</v>
      </c>
      <c r="I1469" s="3" t="s">
        <v>11</v>
      </c>
    </row>
    <row r="1470" customHeight="1" spans="1:9">
      <c r="A1470" s="3" t="str">
        <f t="shared" si="145"/>
        <v>0106</v>
      </c>
      <c r="B1470" s="3" t="s">
        <v>20</v>
      </c>
      <c r="C1470" s="3" t="str">
        <f>"陈申源"</f>
        <v>陈申源</v>
      </c>
      <c r="D1470" s="3" t="str">
        <f t="shared" si="148"/>
        <v>男</v>
      </c>
      <c r="E1470" s="3" t="str">
        <f>"2507015111"</f>
        <v>2507015111</v>
      </c>
      <c r="F1470" s="3" t="str">
        <f t="shared" si="147"/>
        <v>51</v>
      </c>
      <c r="G1470" s="4" t="str">
        <f>"11"</f>
        <v>11</v>
      </c>
      <c r="H1470" s="5">
        <v>74.8</v>
      </c>
      <c r="I1470" s="3"/>
    </row>
    <row r="1471" customHeight="1" spans="1:9">
      <c r="A1471" s="3" t="str">
        <f t="shared" si="145"/>
        <v>0106</v>
      </c>
      <c r="B1471" s="3" t="s">
        <v>20</v>
      </c>
      <c r="C1471" s="3" t="str">
        <f>"孙可凯"</f>
        <v>孙可凯</v>
      </c>
      <c r="D1471" s="3" t="str">
        <f t="shared" si="148"/>
        <v>男</v>
      </c>
      <c r="E1471" s="3" t="str">
        <f>"2507015112"</f>
        <v>2507015112</v>
      </c>
      <c r="F1471" s="3" t="str">
        <f t="shared" si="147"/>
        <v>51</v>
      </c>
      <c r="G1471" s="4" t="str">
        <f>"12"</f>
        <v>12</v>
      </c>
      <c r="H1471" s="5">
        <v>65.2</v>
      </c>
      <c r="I1471" s="3"/>
    </row>
    <row r="1472" customHeight="1" spans="1:9">
      <c r="A1472" s="3" t="str">
        <f t="shared" si="145"/>
        <v>0106</v>
      </c>
      <c r="B1472" s="3" t="s">
        <v>20</v>
      </c>
      <c r="C1472" s="3" t="str">
        <f>"王涵"</f>
        <v>王涵</v>
      </c>
      <c r="D1472" s="3" t="str">
        <f t="shared" si="148"/>
        <v>男</v>
      </c>
      <c r="E1472" s="3" t="str">
        <f>"2507015113"</f>
        <v>2507015113</v>
      </c>
      <c r="F1472" s="3" t="str">
        <f t="shared" si="147"/>
        <v>51</v>
      </c>
      <c r="G1472" s="4" t="str">
        <f>"13"</f>
        <v>13</v>
      </c>
      <c r="H1472" s="5">
        <v>70.9</v>
      </c>
      <c r="I1472" s="3"/>
    </row>
    <row r="1473" customHeight="1" spans="1:9">
      <c r="A1473" s="3" t="str">
        <f t="shared" si="145"/>
        <v>0106</v>
      </c>
      <c r="B1473" s="3" t="s">
        <v>20</v>
      </c>
      <c r="C1473" s="3" t="str">
        <f>"戚慧"</f>
        <v>戚慧</v>
      </c>
      <c r="D1473" s="3" t="str">
        <f>"女"</f>
        <v>女</v>
      </c>
      <c r="E1473" s="3" t="str">
        <f>"2507015114"</f>
        <v>2507015114</v>
      </c>
      <c r="F1473" s="3" t="str">
        <f t="shared" si="147"/>
        <v>51</v>
      </c>
      <c r="G1473" s="4" t="str">
        <f>"14"</f>
        <v>14</v>
      </c>
      <c r="H1473" s="5">
        <v>0</v>
      </c>
      <c r="I1473" s="3" t="s">
        <v>11</v>
      </c>
    </row>
    <row r="1474" customHeight="1" spans="1:9">
      <c r="A1474" s="3" t="str">
        <f t="shared" si="145"/>
        <v>0106</v>
      </c>
      <c r="B1474" s="3" t="s">
        <v>20</v>
      </c>
      <c r="C1474" s="3" t="str">
        <f>"孙明一"</f>
        <v>孙明一</v>
      </c>
      <c r="D1474" s="3" t="str">
        <f>"男"</f>
        <v>男</v>
      </c>
      <c r="E1474" s="3" t="str">
        <f>"2507015115"</f>
        <v>2507015115</v>
      </c>
      <c r="F1474" s="3" t="str">
        <f t="shared" si="147"/>
        <v>51</v>
      </c>
      <c r="G1474" s="4" t="str">
        <f>"15"</f>
        <v>15</v>
      </c>
      <c r="H1474" s="5">
        <v>68.5</v>
      </c>
      <c r="I1474" s="3"/>
    </row>
    <row r="1475" customHeight="1" spans="1:9">
      <c r="A1475" s="3" t="str">
        <f t="shared" si="145"/>
        <v>0106</v>
      </c>
      <c r="B1475" s="3" t="s">
        <v>20</v>
      </c>
      <c r="C1475" s="3" t="str">
        <f>"吕波"</f>
        <v>吕波</v>
      </c>
      <c r="D1475" s="3" t="str">
        <f>"女"</f>
        <v>女</v>
      </c>
      <c r="E1475" s="3" t="str">
        <f>"2507015116"</f>
        <v>2507015116</v>
      </c>
      <c r="F1475" s="3" t="str">
        <f t="shared" si="147"/>
        <v>51</v>
      </c>
      <c r="G1475" s="4" t="str">
        <f>"16"</f>
        <v>16</v>
      </c>
      <c r="H1475" s="5">
        <v>0</v>
      </c>
      <c r="I1475" s="3" t="s">
        <v>11</v>
      </c>
    </row>
    <row r="1476" customHeight="1" spans="1:9">
      <c r="A1476" s="3" t="str">
        <f t="shared" si="145"/>
        <v>0106</v>
      </c>
      <c r="B1476" s="3" t="s">
        <v>20</v>
      </c>
      <c r="C1476" s="3" t="str">
        <f>"王俊策"</f>
        <v>王俊策</v>
      </c>
      <c r="D1476" s="3" t="str">
        <f t="shared" ref="D1476:D1487" si="149">"男"</f>
        <v>男</v>
      </c>
      <c r="E1476" s="3" t="str">
        <f>"2507015117"</f>
        <v>2507015117</v>
      </c>
      <c r="F1476" s="3" t="str">
        <f t="shared" si="147"/>
        <v>51</v>
      </c>
      <c r="G1476" s="4" t="str">
        <f>"17"</f>
        <v>17</v>
      </c>
      <c r="H1476" s="5">
        <v>0</v>
      </c>
      <c r="I1476" s="3" t="s">
        <v>11</v>
      </c>
    </row>
    <row r="1477" customHeight="1" spans="1:9">
      <c r="A1477" s="3" t="str">
        <f t="shared" si="145"/>
        <v>0106</v>
      </c>
      <c r="B1477" s="3" t="s">
        <v>20</v>
      </c>
      <c r="C1477" s="3" t="str">
        <f>"张文韬"</f>
        <v>张文韬</v>
      </c>
      <c r="D1477" s="3" t="str">
        <f t="shared" si="149"/>
        <v>男</v>
      </c>
      <c r="E1477" s="3" t="str">
        <f>"2507015118"</f>
        <v>2507015118</v>
      </c>
      <c r="F1477" s="3" t="str">
        <f t="shared" si="147"/>
        <v>51</v>
      </c>
      <c r="G1477" s="4" t="str">
        <f>"18"</f>
        <v>18</v>
      </c>
      <c r="H1477" s="5">
        <v>83.8</v>
      </c>
      <c r="I1477" s="3"/>
    </row>
    <row r="1478" customHeight="1" spans="1:9">
      <c r="A1478" s="3" t="str">
        <f t="shared" si="145"/>
        <v>0106</v>
      </c>
      <c r="B1478" s="3" t="s">
        <v>20</v>
      </c>
      <c r="C1478" s="3" t="str">
        <f>"王钢锋"</f>
        <v>王钢锋</v>
      </c>
      <c r="D1478" s="3" t="str">
        <f t="shared" si="149"/>
        <v>男</v>
      </c>
      <c r="E1478" s="3" t="str">
        <f>"2507015119"</f>
        <v>2507015119</v>
      </c>
      <c r="F1478" s="3" t="str">
        <f t="shared" si="147"/>
        <v>51</v>
      </c>
      <c r="G1478" s="4" t="str">
        <f>"19"</f>
        <v>19</v>
      </c>
      <c r="H1478" s="5">
        <v>70</v>
      </c>
      <c r="I1478" s="3"/>
    </row>
    <row r="1479" customHeight="1" spans="1:9">
      <c r="A1479" s="3" t="str">
        <f t="shared" si="145"/>
        <v>0106</v>
      </c>
      <c r="B1479" s="3" t="s">
        <v>20</v>
      </c>
      <c r="C1479" s="3" t="str">
        <f>"王宇"</f>
        <v>王宇</v>
      </c>
      <c r="D1479" s="3" t="str">
        <f t="shared" si="149"/>
        <v>男</v>
      </c>
      <c r="E1479" s="3" t="str">
        <f>"2507015120"</f>
        <v>2507015120</v>
      </c>
      <c r="F1479" s="3" t="str">
        <f t="shared" si="147"/>
        <v>51</v>
      </c>
      <c r="G1479" s="4" t="str">
        <f>"20"</f>
        <v>20</v>
      </c>
      <c r="H1479" s="5">
        <v>74.8</v>
      </c>
      <c r="I1479" s="3"/>
    </row>
    <row r="1480" customHeight="1" spans="1:9">
      <c r="A1480" s="3" t="str">
        <f t="shared" si="145"/>
        <v>0106</v>
      </c>
      <c r="B1480" s="3" t="s">
        <v>20</v>
      </c>
      <c r="C1480" s="3" t="str">
        <f>"王鹏飞"</f>
        <v>王鹏飞</v>
      </c>
      <c r="D1480" s="3" t="str">
        <f t="shared" si="149"/>
        <v>男</v>
      </c>
      <c r="E1480" s="3" t="str">
        <f>"2507015121"</f>
        <v>2507015121</v>
      </c>
      <c r="F1480" s="3" t="str">
        <f t="shared" si="147"/>
        <v>51</v>
      </c>
      <c r="G1480" s="4" t="str">
        <f>"21"</f>
        <v>21</v>
      </c>
      <c r="H1480" s="5">
        <v>77.9</v>
      </c>
      <c r="I1480" s="3"/>
    </row>
    <row r="1481" customHeight="1" spans="1:9">
      <c r="A1481" s="3" t="str">
        <f t="shared" si="145"/>
        <v>0106</v>
      </c>
      <c r="B1481" s="3" t="s">
        <v>20</v>
      </c>
      <c r="C1481" s="3" t="str">
        <f>"郁洪祺"</f>
        <v>郁洪祺</v>
      </c>
      <c r="D1481" s="3" t="str">
        <f t="shared" si="149"/>
        <v>男</v>
      </c>
      <c r="E1481" s="3" t="str">
        <f>"2507015122"</f>
        <v>2507015122</v>
      </c>
      <c r="F1481" s="3" t="str">
        <f t="shared" si="147"/>
        <v>51</v>
      </c>
      <c r="G1481" s="4" t="str">
        <f>"22"</f>
        <v>22</v>
      </c>
      <c r="H1481" s="5">
        <v>46.6</v>
      </c>
      <c r="I1481" s="3"/>
    </row>
    <row r="1482" customHeight="1" spans="1:9">
      <c r="A1482" s="3" t="str">
        <f t="shared" si="145"/>
        <v>0106</v>
      </c>
      <c r="B1482" s="3" t="s">
        <v>20</v>
      </c>
      <c r="C1482" s="3" t="str">
        <f>"刘仁杰"</f>
        <v>刘仁杰</v>
      </c>
      <c r="D1482" s="3" t="str">
        <f t="shared" si="149"/>
        <v>男</v>
      </c>
      <c r="E1482" s="3" t="str">
        <f>"2507015123"</f>
        <v>2507015123</v>
      </c>
      <c r="F1482" s="3" t="str">
        <f t="shared" si="147"/>
        <v>51</v>
      </c>
      <c r="G1482" s="4" t="str">
        <f>"23"</f>
        <v>23</v>
      </c>
      <c r="H1482" s="5">
        <v>64.6</v>
      </c>
      <c r="I1482" s="3"/>
    </row>
    <row r="1483" customHeight="1" spans="1:9">
      <c r="A1483" s="3" t="str">
        <f t="shared" si="145"/>
        <v>0106</v>
      </c>
      <c r="B1483" s="3" t="s">
        <v>20</v>
      </c>
      <c r="C1483" s="3" t="str">
        <f>"齐凯"</f>
        <v>齐凯</v>
      </c>
      <c r="D1483" s="3" t="str">
        <f t="shared" si="149"/>
        <v>男</v>
      </c>
      <c r="E1483" s="3" t="str">
        <f>"2507015124"</f>
        <v>2507015124</v>
      </c>
      <c r="F1483" s="3" t="str">
        <f t="shared" si="147"/>
        <v>51</v>
      </c>
      <c r="G1483" s="4" t="str">
        <f>"24"</f>
        <v>24</v>
      </c>
      <c r="H1483" s="5">
        <v>79.8</v>
      </c>
      <c r="I1483" s="3"/>
    </row>
    <row r="1484" customHeight="1" spans="1:9">
      <c r="A1484" s="3" t="str">
        <f t="shared" si="145"/>
        <v>0106</v>
      </c>
      <c r="B1484" s="3" t="s">
        <v>20</v>
      </c>
      <c r="C1484" s="3" t="str">
        <f>"唐富金"</f>
        <v>唐富金</v>
      </c>
      <c r="D1484" s="3" t="str">
        <f t="shared" si="149"/>
        <v>男</v>
      </c>
      <c r="E1484" s="3" t="str">
        <f>"2507015125"</f>
        <v>2507015125</v>
      </c>
      <c r="F1484" s="3" t="str">
        <f t="shared" si="147"/>
        <v>51</v>
      </c>
      <c r="G1484" s="4" t="str">
        <f>"25"</f>
        <v>25</v>
      </c>
      <c r="H1484" s="5">
        <v>70.7</v>
      </c>
      <c r="I1484" s="3"/>
    </row>
    <row r="1485" customHeight="1" spans="1:9">
      <c r="A1485" s="3" t="str">
        <f t="shared" si="145"/>
        <v>0106</v>
      </c>
      <c r="B1485" s="3" t="s">
        <v>20</v>
      </c>
      <c r="C1485" s="3" t="str">
        <f>"高杰"</f>
        <v>高杰</v>
      </c>
      <c r="D1485" s="3" t="str">
        <f t="shared" si="149"/>
        <v>男</v>
      </c>
      <c r="E1485" s="3" t="str">
        <f>"2507015126"</f>
        <v>2507015126</v>
      </c>
      <c r="F1485" s="3" t="str">
        <f t="shared" si="147"/>
        <v>51</v>
      </c>
      <c r="G1485" s="4" t="str">
        <f>"26"</f>
        <v>26</v>
      </c>
      <c r="H1485" s="5">
        <v>61</v>
      </c>
      <c r="I1485" s="3"/>
    </row>
    <row r="1486" customHeight="1" spans="1:9">
      <c r="A1486" s="3" t="str">
        <f t="shared" si="145"/>
        <v>0106</v>
      </c>
      <c r="B1486" s="3" t="s">
        <v>20</v>
      </c>
      <c r="C1486" s="3" t="str">
        <f>"刘柏麟"</f>
        <v>刘柏麟</v>
      </c>
      <c r="D1486" s="3" t="str">
        <f t="shared" si="149"/>
        <v>男</v>
      </c>
      <c r="E1486" s="3" t="str">
        <f>"2507015127"</f>
        <v>2507015127</v>
      </c>
      <c r="F1486" s="3" t="str">
        <f t="shared" si="147"/>
        <v>51</v>
      </c>
      <c r="G1486" s="4" t="str">
        <f>"27"</f>
        <v>27</v>
      </c>
      <c r="H1486" s="5">
        <v>62.4</v>
      </c>
      <c r="I1486" s="3"/>
    </row>
    <row r="1487" customHeight="1" spans="1:9">
      <c r="A1487" s="3" t="str">
        <f t="shared" si="145"/>
        <v>0106</v>
      </c>
      <c r="B1487" s="3" t="s">
        <v>20</v>
      </c>
      <c r="C1487" s="3" t="str">
        <f>"李昴"</f>
        <v>李昴</v>
      </c>
      <c r="D1487" s="3" t="str">
        <f t="shared" si="149"/>
        <v>男</v>
      </c>
      <c r="E1487" s="3" t="str">
        <f>"2507015128"</f>
        <v>2507015128</v>
      </c>
      <c r="F1487" s="3" t="str">
        <f t="shared" si="147"/>
        <v>51</v>
      </c>
      <c r="G1487" s="4" t="str">
        <f>"28"</f>
        <v>28</v>
      </c>
      <c r="H1487" s="5">
        <v>0</v>
      </c>
      <c r="I1487" s="3" t="s">
        <v>11</v>
      </c>
    </row>
    <row r="1488" customHeight="1" spans="1:9">
      <c r="A1488" s="3" t="str">
        <f t="shared" si="145"/>
        <v>0106</v>
      </c>
      <c r="B1488" s="3" t="s">
        <v>20</v>
      </c>
      <c r="C1488" s="3" t="str">
        <f>"燕璐"</f>
        <v>燕璐</v>
      </c>
      <c r="D1488" s="3" t="str">
        <f>"女"</f>
        <v>女</v>
      </c>
      <c r="E1488" s="3" t="str">
        <f>"2507015129"</f>
        <v>2507015129</v>
      </c>
      <c r="F1488" s="3" t="str">
        <f t="shared" si="147"/>
        <v>51</v>
      </c>
      <c r="G1488" s="4" t="str">
        <f>"29"</f>
        <v>29</v>
      </c>
      <c r="H1488" s="5">
        <v>68.5</v>
      </c>
      <c r="I1488" s="3"/>
    </row>
    <row r="1489" customHeight="1" spans="1:9">
      <c r="A1489" s="3" t="str">
        <f t="shared" si="145"/>
        <v>0106</v>
      </c>
      <c r="B1489" s="3" t="s">
        <v>20</v>
      </c>
      <c r="C1489" s="3" t="str">
        <f>"孙琦"</f>
        <v>孙琦</v>
      </c>
      <c r="D1489" s="3" t="str">
        <f>"女"</f>
        <v>女</v>
      </c>
      <c r="E1489" s="3" t="str">
        <f>"2507015130"</f>
        <v>2507015130</v>
      </c>
      <c r="F1489" s="3" t="str">
        <f t="shared" si="147"/>
        <v>51</v>
      </c>
      <c r="G1489" s="4" t="str">
        <f>"30"</f>
        <v>30</v>
      </c>
      <c r="H1489" s="5">
        <v>0</v>
      </c>
      <c r="I1489" s="3" t="s">
        <v>11</v>
      </c>
    </row>
    <row r="1490" customHeight="1" spans="1:9">
      <c r="A1490" s="3" t="str">
        <f t="shared" si="145"/>
        <v>0106</v>
      </c>
      <c r="B1490" s="3" t="s">
        <v>20</v>
      </c>
      <c r="C1490" s="3" t="str">
        <f>"张建树"</f>
        <v>张建树</v>
      </c>
      <c r="D1490" s="3" t="str">
        <f>"男"</f>
        <v>男</v>
      </c>
      <c r="E1490" s="3" t="str">
        <f>"2507015131"</f>
        <v>2507015131</v>
      </c>
      <c r="F1490" s="3" t="str">
        <f t="shared" si="147"/>
        <v>51</v>
      </c>
      <c r="G1490" s="4" t="str">
        <f>"31"</f>
        <v>31</v>
      </c>
      <c r="H1490" s="5">
        <v>73.1</v>
      </c>
      <c r="I1490" s="3"/>
    </row>
    <row r="1491" customHeight="1" spans="1:9">
      <c r="A1491" s="3" t="str">
        <f t="shared" si="145"/>
        <v>0106</v>
      </c>
      <c r="B1491" s="3" t="s">
        <v>20</v>
      </c>
      <c r="C1491" s="3" t="str">
        <f>"张文译"</f>
        <v>张文译</v>
      </c>
      <c r="D1491" s="3" t="str">
        <f>"男"</f>
        <v>男</v>
      </c>
      <c r="E1491" s="3" t="str">
        <f>"2507015201"</f>
        <v>2507015201</v>
      </c>
      <c r="F1491" s="3" t="str">
        <f t="shared" ref="F1491:F1521" si="150">"52"</f>
        <v>52</v>
      </c>
      <c r="G1491" s="4" t="str">
        <f>"01"</f>
        <v>01</v>
      </c>
      <c r="H1491" s="5">
        <v>68.4</v>
      </c>
      <c r="I1491" s="3"/>
    </row>
    <row r="1492" customHeight="1" spans="1:9">
      <c r="A1492" s="3" t="str">
        <f t="shared" si="145"/>
        <v>0106</v>
      </c>
      <c r="B1492" s="3" t="s">
        <v>20</v>
      </c>
      <c r="C1492" s="3" t="str">
        <f>"董瑶瑶"</f>
        <v>董瑶瑶</v>
      </c>
      <c r="D1492" s="3" t="str">
        <f>"女"</f>
        <v>女</v>
      </c>
      <c r="E1492" s="3" t="str">
        <f>"2507015202"</f>
        <v>2507015202</v>
      </c>
      <c r="F1492" s="3" t="str">
        <f t="shared" si="150"/>
        <v>52</v>
      </c>
      <c r="G1492" s="4" t="str">
        <f>"02"</f>
        <v>02</v>
      </c>
      <c r="H1492" s="5">
        <v>0</v>
      </c>
      <c r="I1492" s="3" t="s">
        <v>11</v>
      </c>
    </row>
    <row r="1493" customHeight="1" spans="1:9">
      <c r="A1493" s="3" t="str">
        <f t="shared" si="145"/>
        <v>0106</v>
      </c>
      <c r="B1493" s="3" t="s">
        <v>20</v>
      </c>
      <c r="C1493" s="3" t="str">
        <f>"陶豪"</f>
        <v>陶豪</v>
      </c>
      <c r="D1493" s="3" t="str">
        <f>"男"</f>
        <v>男</v>
      </c>
      <c r="E1493" s="3" t="str">
        <f>"2507015203"</f>
        <v>2507015203</v>
      </c>
      <c r="F1493" s="3" t="str">
        <f t="shared" si="150"/>
        <v>52</v>
      </c>
      <c r="G1493" s="4" t="str">
        <f>"03"</f>
        <v>03</v>
      </c>
      <c r="H1493" s="5">
        <v>0</v>
      </c>
      <c r="I1493" s="3" t="s">
        <v>11</v>
      </c>
    </row>
    <row r="1494" customHeight="1" spans="1:9">
      <c r="A1494" s="3" t="str">
        <f t="shared" si="145"/>
        <v>0106</v>
      </c>
      <c r="B1494" s="3" t="s">
        <v>20</v>
      </c>
      <c r="C1494" s="3" t="str">
        <f>"陈明远"</f>
        <v>陈明远</v>
      </c>
      <c r="D1494" s="3" t="str">
        <f>"男"</f>
        <v>男</v>
      </c>
      <c r="E1494" s="3" t="str">
        <f>"2507015204"</f>
        <v>2507015204</v>
      </c>
      <c r="F1494" s="3" t="str">
        <f t="shared" si="150"/>
        <v>52</v>
      </c>
      <c r="G1494" s="4" t="str">
        <f>"04"</f>
        <v>04</v>
      </c>
      <c r="H1494" s="5">
        <v>59.2</v>
      </c>
      <c r="I1494" s="3"/>
    </row>
    <row r="1495" customHeight="1" spans="1:9">
      <c r="A1495" s="3" t="str">
        <f t="shared" ref="A1495:A1558" si="151">"0106"</f>
        <v>0106</v>
      </c>
      <c r="B1495" s="3" t="s">
        <v>20</v>
      </c>
      <c r="C1495" s="3" t="str">
        <f>"刘正霞"</f>
        <v>刘正霞</v>
      </c>
      <c r="D1495" s="3" t="str">
        <f>"女"</f>
        <v>女</v>
      </c>
      <c r="E1495" s="3" t="str">
        <f>"2507015205"</f>
        <v>2507015205</v>
      </c>
      <c r="F1495" s="3" t="str">
        <f t="shared" si="150"/>
        <v>52</v>
      </c>
      <c r="G1495" s="4" t="str">
        <f>"05"</f>
        <v>05</v>
      </c>
      <c r="H1495" s="5">
        <v>63.5</v>
      </c>
      <c r="I1495" s="3"/>
    </row>
    <row r="1496" customHeight="1" spans="1:9">
      <c r="A1496" s="3" t="str">
        <f t="shared" si="151"/>
        <v>0106</v>
      </c>
      <c r="B1496" s="3" t="s">
        <v>20</v>
      </c>
      <c r="C1496" s="3" t="str">
        <f>"李天月"</f>
        <v>李天月</v>
      </c>
      <c r="D1496" s="3" t="str">
        <f>"女"</f>
        <v>女</v>
      </c>
      <c r="E1496" s="3" t="str">
        <f>"2507015206"</f>
        <v>2507015206</v>
      </c>
      <c r="F1496" s="3" t="str">
        <f t="shared" si="150"/>
        <v>52</v>
      </c>
      <c r="G1496" s="4" t="str">
        <f>"06"</f>
        <v>06</v>
      </c>
      <c r="H1496" s="5">
        <v>70.7</v>
      </c>
      <c r="I1496" s="3"/>
    </row>
    <row r="1497" customHeight="1" spans="1:9">
      <c r="A1497" s="3" t="str">
        <f t="shared" si="151"/>
        <v>0106</v>
      </c>
      <c r="B1497" s="3" t="s">
        <v>20</v>
      </c>
      <c r="C1497" s="3" t="str">
        <f>"胡长宝"</f>
        <v>胡长宝</v>
      </c>
      <c r="D1497" s="3" t="str">
        <f>"男"</f>
        <v>男</v>
      </c>
      <c r="E1497" s="3" t="str">
        <f>"2507015207"</f>
        <v>2507015207</v>
      </c>
      <c r="F1497" s="3" t="str">
        <f t="shared" si="150"/>
        <v>52</v>
      </c>
      <c r="G1497" s="4" t="str">
        <f>"07"</f>
        <v>07</v>
      </c>
      <c r="H1497" s="5">
        <v>78.3</v>
      </c>
      <c r="I1497" s="3"/>
    </row>
    <row r="1498" customHeight="1" spans="1:9">
      <c r="A1498" s="3" t="str">
        <f t="shared" si="151"/>
        <v>0106</v>
      </c>
      <c r="B1498" s="3" t="s">
        <v>20</v>
      </c>
      <c r="C1498" s="3" t="str">
        <f>"骆辰凤"</f>
        <v>骆辰凤</v>
      </c>
      <c r="D1498" s="3" t="str">
        <f>"女"</f>
        <v>女</v>
      </c>
      <c r="E1498" s="3" t="str">
        <f>"2507015208"</f>
        <v>2507015208</v>
      </c>
      <c r="F1498" s="3" t="str">
        <f t="shared" si="150"/>
        <v>52</v>
      </c>
      <c r="G1498" s="4" t="str">
        <f>"08"</f>
        <v>08</v>
      </c>
      <c r="H1498" s="5">
        <v>0</v>
      </c>
      <c r="I1498" s="3" t="s">
        <v>11</v>
      </c>
    </row>
    <row r="1499" customHeight="1" spans="1:9">
      <c r="A1499" s="3" t="str">
        <f t="shared" si="151"/>
        <v>0106</v>
      </c>
      <c r="B1499" s="3" t="s">
        <v>20</v>
      </c>
      <c r="C1499" s="3" t="str">
        <f>"朱德政"</f>
        <v>朱德政</v>
      </c>
      <c r="D1499" s="3" t="str">
        <f>"男"</f>
        <v>男</v>
      </c>
      <c r="E1499" s="3" t="str">
        <f>"2507015209"</f>
        <v>2507015209</v>
      </c>
      <c r="F1499" s="3" t="str">
        <f t="shared" si="150"/>
        <v>52</v>
      </c>
      <c r="G1499" s="4" t="str">
        <f>"09"</f>
        <v>09</v>
      </c>
      <c r="H1499" s="5">
        <v>70.6</v>
      </c>
      <c r="I1499" s="3"/>
    </row>
    <row r="1500" customHeight="1" spans="1:9">
      <c r="A1500" s="3" t="str">
        <f t="shared" si="151"/>
        <v>0106</v>
      </c>
      <c r="B1500" s="3" t="s">
        <v>20</v>
      </c>
      <c r="C1500" s="3" t="str">
        <f>"李东雪"</f>
        <v>李东雪</v>
      </c>
      <c r="D1500" s="3" t="str">
        <f>"女"</f>
        <v>女</v>
      </c>
      <c r="E1500" s="3" t="str">
        <f>"2507015210"</f>
        <v>2507015210</v>
      </c>
      <c r="F1500" s="3" t="str">
        <f t="shared" si="150"/>
        <v>52</v>
      </c>
      <c r="G1500" s="4" t="str">
        <f>"10"</f>
        <v>10</v>
      </c>
      <c r="H1500" s="5">
        <v>75</v>
      </c>
      <c r="I1500" s="3"/>
    </row>
    <row r="1501" customHeight="1" spans="1:9">
      <c r="A1501" s="3" t="str">
        <f t="shared" si="151"/>
        <v>0106</v>
      </c>
      <c r="B1501" s="3" t="s">
        <v>20</v>
      </c>
      <c r="C1501" s="3" t="str">
        <f>"陈金辉"</f>
        <v>陈金辉</v>
      </c>
      <c r="D1501" s="3" t="str">
        <f>"男"</f>
        <v>男</v>
      </c>
      <c r="E1501" s="3" t="str">
        <f>"2507015211"</f>
        <v>2507015211</v>
      </c>
      <c r="F1501" s="3" t="str">
        <f t="shared" si="150"/>
        <v>52</v>
      </c>
      <c r="G1501" s="4" t="str">
        <f>"11"</f>
        <v>11</v>
      </c>
      <c r="H1501" s="5">
        <v>80.3</v>
      </c>
      <c r="I1501" s="3"/>
    </row>
    <row r="1502" customHeight="1" spans="1:9">
      <c r="A1502" s="3" t="str">
        <f t="shared" si="151"/>
        <v>0106</v>
      </c>
      <c r="B1502" s="3" t="s">
        <v>20</v>
      </c>
      <c r="C1502" s="3" t="str">
        <f>"梁正罡"</f>
        <v>梁正罡</v>
      </c>
      <c r="D1502" s="3" t="str">
        <f>"男"</f>
        <v>男</v>
      </c>
      <c r="E1502" s="3" t="str">
        <f>"2507015212"</f>
        <v>2507015212</v>
      </c>
      <c r="F1502" s="3" t="str">
        <f t="shared" si="150"/>
        <v>52</v>
      </c>
      <c r="G1502" s="4" t="str">
        <f>"12"</f>
        <v>12</v>
      </c>
      <c r="H1502" s="5">
        <v>78.6</v>
      </c>
      <c r="I1502" s="3"/>
    </row>
    <row r="1503" customHeight="1" spans="1:9">
      <c r="A1503" s="3" t="str">
        <f t="shared" si="151"/>
        <v>0106</v>
      </c>
      <c r="B1503" s="3" t="s">
        <v>20</v>
      </c>
      <c r="C1503" s="3" t="str">
        <f>"张稳"</f>
        <v>张稳</v>
      </c>
      <c r="D1503" s="3" t="str">
        <f>"男"</f>
        <v>男</v>
      </c>
      <c r="E1503" s="3" t="str">
        <f>"2507015213"</f>
        <v>2507015213</v>
      </c>
      <c r="F1503" s="3" t="str">
        <f t="shared" si="150"/>
        <v>52</v>
      </c>
      <c r="G1503" s="4" t="str">
        <f>"13"</f>
        <v>13</v>
      </c>
      <c r="H1503" s="5">
        <v>0</v>
      </c>
      <c r="I1503" s="3" t="s">
        <v>11</v>
      </c>
    </row>
    <row r="1504" customHeight="1" spans="1:9">
      <c r="A1504" s="3" t="str">
        <f t="shared" si="151"/>
        <v>0106</v>
      </c>
      <c r="B1504" s="3" t="s">
        <v>20</v>
      </c>
      <c r="C1504" s="3" t="str">
        <f>"夏文"</f>
        <v>夏文</v>
      </c>
      <c r="D1504" s="3" t="str">
        <f>"女"</f>
        <v>女</v>
      </c>
      <c r="E1504" s="3" t="str">
        <f>"2507015214"</f>
        <v>2507015214</v>
      </c>
      <c r="F1504" s="3" t="str">
        <f t="shared" si="150"/>
        <v>52</v>
      </c>
      <c r="G1504" s="4" t="str">
        <f>"14"</f>
        <v>14</v>
      </c>
      <c r="H1504" s="5">
        <v>69.5</v>
      </c>
      <c r="I1504" s="3"/>
    </row>
    <row r="1505" customHeight="1" spans="1:9">
      <c r="A1505" s="3" t="str">
        <f t="shared" si="151"/>
        <v>0106</v>
      </c>
      <c r="B1505" s="3" t="s">
        <v>20</v>
      </c>
      <c r="C1505" s="3" t="str">
        <f>"刘近龙"</f>
        <v>刘近龙</v>
      </c>
      <c r="D1505" s="3" t="str">
        <f>"男"</f>
        <v>男</v>
      </c>
      <c r="E1505" s="3" t="str">
        <f>"2507015215"</f>
        <v>2507015215</v>
      </c>
      <c r="F1505" s="3" t="str">
        <f t="shared" si="150"/>
        <v>52</v>
      </c>
      <c r="G1505" s="4" t="str">
        <f>"15"</f>
        <v>15</v>
      </c>
      <c r="H1505" s="5">
        <v>61.3</v>
      </c>
      <c r="I1505" s="3"/>
    </row>
    <row r="1506" customHeight="1" spans="1:9">
      <c r="A1506" s="3" t="str">
        <f t="shared" si="151"/>
        <v>0106</v>
      </c>
      <c r="B1506" s="3" t="s">
        <v>20</v>
      </c>
      <c r="C1506" s="3" t="str">
        <f>"卢腾"</f>
        <v>卢腾</v>
      </c>
      <c r="D1506" s="3" t="str">
        <f>"男"</f>
        <v>男</v>
      </c>
      <c r="E1506" s="3" t="str">
        <f>"2507015216"</f>
        <v>2507015216</v>
      </c>
      <c r="F1506" s="3" t="str">
        <f t="shared" si="150"/>
        <v>52</v>
      </c>
      <c r="G1506" s="4" t="str">
        <f>"16"</f>
        <v>16</v>
      </c>
      <c r="H1506" s="5">
        <v>76.4</v>
      </c>
      <c r="I1506" s="3"/>
    </row>
    <row r="1507" customHeight="1" spans="1:9">
      <c r="A1507" s="3" t="str">
        <f t="shared" si="151"/>
        <v>0106</v>
      </c>
      <c r="B1507" s="3" t="s">
        <v>20</v>
      </c>
      <c r="C1507" s="3" t="str">
        <f>"董成花"</f>
        <v>董成花</v>
      </c>
      <c r="D1507" s="3" t="str">
        <f>"女"</f>
        <v>女</v>
      </c>
      <c r="E1507" s="3" t="str">
        <f>"2507015217"</f>
        <v>2507015217</v>
      </c>
      <c r="F1507" s="3" t="str">
        <f t="shared" si="150"/>
        <v>52</v>
      </c>
      <c r="G1507" s="4" t="str">
        <f>"17"</f>
        <v>17</v>
      </c>
      <c r="H1507" s="5">
        <v>76.7</v>
      </c>
      <c r="I1507" s="3"/>
    </row>
    <row r="1508" customHeight="1" spans="1:9">
      <c r="A1508" s="3" t="str">
        <f t="shared" si="151"/>
        <v>0106</v>
      </c>
      <c r="B1508" s="3" t="s">
        <v>20</v>
      </c>
      <c r="C1508" s="3" t="str">
        <f>"刘凯"</f>
        <v>刘凯</v>
      </c>
      <c r="D1508" s="3" t="str">
        <f t="shared" ref="D1508:D1513" si="152">"男"</f>
        <v>男</v>
      </c>
      <c r="E1508" s="3" t="str">
        <f>"2507015218"</f>
        <v>2507015218</v>
      </c>
      <c r="F1508" s="3" t="str">
        <f t="shared" si="150"/>
        <v>52</v>
      </c>
      <c r="G1508" s="4" t="str">
        <f>"18"</f>
        <v>18</v>
      </c>
      <c r="H1508" s="5">
        <v>59.5</v>
      </c>
      <c r="I1508" s="3"/>
    </row>
    <row r="1509" customHeight="1" spans="1:9">
      <c r="A1509" s="3" t="str">
        <f t="shared" si="151"/>
        <v>0106</v>
      </c>
      <c r="B1509" s="3" t="s">
        <v>20</v>
      </c>
      <c r="C1509" s="3" t="str">
        <f>"时国皓"</f>
        <v>时国皓</v>
      </c>
      <c r="D1509" s="3" t="str">
        <f t="shared" si="152"/>
        <v>男</v>
      </c>
      <c r="E1509" s="3" t="str">
        <f>"2507015219"</f>
        <v>2507015219</v>
      </c>
      <c r="F1509" s="3" t="str">
        <f t="shared" si="150"/>
        <v>52</v>
      </c>
      <c r="G1509" s="4" t="str">
        <f>"19"</f>
        <v>19</v>
      </c>
      <c r="H1509" s="5">
        <v>73.7</v>
      </c>
      <c r="I1509" s="3"/>
    </row>
    <row r="1510" customHeight="1" spans="1:9">
      <c r="A1510" s="3" t="str">
        <f t="shared" si="151"/>
        <v>0106</v>
      </c>
      <c r="B1510" s="3" t="s">
        <v>20</v>
      </c>
      <c r="C1510" s="3" t="str">
        <f>"阚世龙"</f>
        <v>阚世龙</v>
      </c>
      <c r="D1510" s="3" t="str">
        <f t="shared" si="152"/>
        <v>男</v>
      </c>
      <c r="E1510" s="3" t="str">
        <f>"2507015220"</f>
        <v>2507015220</v>
      </c>
      <c r="F1510" s="3" t="str">
        <f t="shared" si="150"/>
        <v>52</v>
      </c>
      <c r="G1510" s="4" t="str">
        <f>"20"</f>
        <v>20</v>
      </c>
      <c r="H1510" s="5">
        <v>0</v>
      </c>
      <c r="I1510" s="3" t="s">
        <v>11</v>
      </c>
    </row>
    <row r="1511" customHeight="1" spans="1:9">
      <c r="A1511" s="3" t="str">
        <f t="shared" si="151"/>
        <v>0106</v>
      </c>
      <c r="B1511" s="3" t="s">
        <v>20</v>
      </c>
      <c r="C1511" s="3" t="str">
        <f>"赵柏权"</f>
        <v>赵柏权</v>
      </c>
      <c r="D1511" s="3" t="str">
        <f t="shared" si="152"/>
        <v>男</v>
      </c>
      <c r="E1511" s="3" t="str">
        <f>"2507015221"</f>
        <v>2507015221</v>
      </c>
      <c r="F1511" s="3" t="str">
        <f t="shared" si="150"/>
        <v>52</v>
      </c>
      <c r="G1511" s="4" t="str">
        <f>"21"</f>
        <v>21</v>
      </c>
      <c r="H1511" s="5">
        <v>63.6</v>
      </c>
      <c r="I1511" s="3"/>
    </row>
    <row r="1512" customHeight="1" spans="1:9">
      <c r="A1512" s="3" t="str">
        <f t="shared" si="151"/>
        <v>0106</v>
      </c>
      <c r="B1512" s="3" t="s">
        <v>20</v>
      </c>
      <c r="C1512" s="3" t="str">
        <f>"齐强强"</f>
        <v>齐强强</v>
      </c>
      <c r="D1512" s="3" t="str">
        <f t="shared" si="152"/>
        <v>男</v>
      </c>
      <c r="E1512" s="3" t="str">
        <f>"2507015222"</f>
        <v>2507015222</v>
      </c>
      <c r="F1512" s="3" t="str">
        <f t="shared" si="150"/>
        <v>52</v>
      </c>
      <c r="G1512" s="4" t="str">
        <f>"22"</f>
        <v>22</v>
      </c>
      <c r="H1512" s="5">
        <v>0</v>
      </c>
      <c r="I1512" s="3" t="s">
        <v>11</v>
      </c>
    </row>
    <row r="1513" customHeight="1" spans="1:9">
      <c r="A1513" s="3" t="str">
        <f t="shared" si="151"/>
        <v>0106</v>
      </c>
      <c r="B1513" s="3" t="s">
        <v>20</v>
      </c>
      <c r="C1513" s="3" t="str">
        <f>"赵宁"</f>
        <v>赵宁</v>
      </c>
      <c r="D1513" s="3" t="str">
        <f t="shared" si="152"/>
        <v>男</v>
      </c>
      <c r="E1513" s="3" t="str">
        <f>"2507015223"</f>
        <v>2507015223</v>
      </c>
      <c r="F1513" s="3" t="str">
        <f t="shared" si="150"/>
        <v>52</v>
      </c>
      <c r="G1513" s="4" t="str">
        <f>"23"</f>
        <v>23</v>
      </c>
      <c r="H1513" s="5">
        <v>0</v>
      </c>
      <c r="I1513" s="3" t="s">
        <v>11</v>
      </c>
    </row>
    <row r="1514" customHeight="1" spans="1:9">
      <c r="A1514" s="3" t="str">
        <f t="shared" si="151"/>
        <v>0106</v>
      </c>
      <c r="B1514" s="3" t="s">
        <v>20</v>
      </c>
      <c r="C1514" s="3" t="str">
        <f>"夏艳慧"</f>
        <v>夏艳慧</v>
      </c>
      <c r="D1514" s="3" t="str">
        <f>"女"</f>
        <v>女</v>
      </c>
      <c r="E1514" s="3" t="str">
        <f>"2507015224"</f>
        <v>2507015224</v>
      </c>
      <c r="F1514" s="3" t="str">
        <f t="shared" si="150"/>
        <v>52</v>
      </c>
      <c r="G1514" s="4" t="str">
        <f>"24"</f>
        <v>24</v>
      </c>
      <c r="H1514" s="5">
        <v>74.2</v>
      </c>
      <c r="I1514" s="3"/>
    </row>
    <row r="1515" customHeight="1" spans="1:9">
      <c r="A1515" s="3" t="str">
        <f t="shared" si="151"/>
        <v>0106</v>
      </c>
      <c r="B1515" s="3" t="s">
        <v>20</v>
      </c>
      <c r="C1515" s="3" t="str">
        <f>"卢谦"</f>
        <v>卢谦</v>
      </c>
      <c r="D1515" s="3" t="str">
        <f>"男"</f>
        <v>男</v>
      </c>
      <c r="E1515" s="3" t="str">
        <f>"2507015225"</f>
        <v>2507015225</v>
      </c>
      <c r="F1515" s="3" t="str">
        <f t="shared" si="150"/>
        <v>52</v>
      </c>
      <c r="G1515" s="4" t="str">
        <f>"25"</f>
        <v>25</v>
      </c>
      <c r="H1515" s="5">
        <v>52.3</v>
      </c>
      <c r="I1515" s="3"/>
    </row>
    <row r="1516" customHeight="1" spans="1:9">
      <c r="A1516" s="3" t="str">
        <f t="shared" si="151"/>
        <v>0106</v>
      </c>
      <c r="B1516" s="3" t="s">
        <v>20</v>
      </c>
      <c r="C1516" s="3" t="str">
        <f>"史龙杰"</f>
        <v>史龙杰</v>
      </c>
      <c r="D1516" s="3" t="str">
        <f>"男"</f>
        <v>男</v>
      </c>
      <c r="E1516" s="3" t="str">
        <f>"2507015226"</f>
        <v>2507015226</v>
      </c>
      <c r="F1516" s="3" t="str">
        <f t="shared" si="150"/>
        <v>52</v>
      </c>
      <c r="G1516" s="4" t="str">
        <f>"26"</f>
        <v>26</v>
      </c>
      <c r="H1516" s="5">
        <v>77.8</v>
      </c>
      <c r="I1516" s="3"/>
    </row>
    <row r="1517" customHeight="1" spans="1:9">
      <c r="A1517" s="3" t="str">
        <f t="shared" si="151"/>
        <v>0106</v>
      </c>
      <c r="B1517" s="3" t="s">
        <v>20</v>
      </c>
      <c r="C1517" s="3" t="str">
        <f>"孙凡格"</f>
        <v>孙凡格</v>
      </c>
      <c r="D1517" s="3" t="str">
        <f>"男"</f>
        <v>男</v>
      </c>
      <c r="E1517" s="3" t="str">
        <f>"2507015227"</f>
        <v>2507015227</v>
      </c>
      <c r="F1517" s="3" t="str">
        <f t="shared" si="150"/>
        <v>52</v>
      </c>
      <c r="G1517" s="4" t="str">
        <f>"27"</f>
        <v>27</v>
      </c>
      <c r="H1517" s="5">
        <v>65.1</v>
      </c>
      <c r="I1517" s="3"/>
    </row>
    <row r="1518" customHeight="1" spans="1:9">
      <c r="A1518" s="3" t="str">
        <f t="shared" si="151"/>
        <v>0106</v>
      </c>
      <c r="B1518" s="3" t="s">
        <v>20</v>
      </c>
      <c r="C1518" s="3" t="str">
        <f>"陈士同"</f>
        <v>陈士同</v>
      </c>
      <c r="D1518" s="3" t="str">
        <f>"男"</f>
        <v>男</v>
      </c>
      <c r="E1518" s="3" t="str">
        <f>"2507015228"</f>
        <v>2507015228</v>
      </c>
      <c r="F1518" s="3" t="str">
        <f t="shared" si="150"/>
        <v>52</v>
      </c>
      <c r="G1518" s="4" t="str">
        <f>"28"</f>
        <v>28</v>
      </c>
      <c r="H1518" s="5">
        <v>64.3</v>
      </c>
      <c r="I1518" s="3"/>
    </row>
    <row r="1519" customHeight="1" spans="1:9">
      <c r="A1519" s="3" t="str">
        <f t="shared" si="151"/>
        <v>0106</v>
      </c>
      <c r="B1519" s="3" t="s">
        <v>20</v>
      </c>
      <c r="C1519" s="3" t="str">
        <f>"王博"</f>
        <v>王博</v>
      </c>
      <c r="D1519" s="3" t="str">
        <f>"男"</f>
        <v>男</v>
      </c>
      <c r="E1519" s="3" t="str">
        <f>"2507015229"</f>
        <v>2507015229</v>
      </c>
      <c r="F1519" s="3" t="str">
        <f t="shared" si="150"/>
        <v>52</v>
      </c>
      <c r="G1519" s="4" t="str">
        <f>"29"</f>
        <v>29</v>
      </c>
      <c r="H1519" s="5">
        <v>74.7</v>
      </c>
      <c r="I1519" s="3"/>
    </row>
    <row r="1520" customHeight="1" spans="1:9">
      <c r="A1520" s="3" t="str">
        <f t="shared" si="151"/>
        <v>0106</v>
      </c>
      <c r="B1520" s="3" t="s">
        <v>20</v>
      </c>
      <c r="C1520" s="3" t="str">
        <f>"张晓梅"</f>
        <v>张晓梅</v>
      </c>
      <c r="D1520" s="3" t="str">
        <f>"女"</f>
        <v>女</v>
      </c>
      <c r="E1520" s="3" t="str">
        <f>"2507015230"</f>
        <v>2507015230</v>
      </c>
      <c r="F1520" s="3" t="str">
        <f t="shared" si="150"/>
        <v>52</v>
      </c>
      <c r="G1520" s="4" t="str">
        <f>"30"</f>
        <v>30</v>
      </c>
      <c r="H1520" s="5">
        <v>78.8</v>
      </c>
      <c r="I1520" s="3"/>
    </row>
    <row r="1521" customHeight="1" spans="1:9">
      <c r="A1521" s="3" t="str">
        <f t="shared" si="151"/>
        <v>0106</v>
      </c>
      <c r="B1521" s="3" t="s">
        <v>20</v>
      </c>
      <c r="C1521" s="3" t="str">
        <f>"王浩南"</f>
        <v>王浩南</v>
      </c>
      <c r="D1521" s="3" t="str">
        <f>"男"</f>
        <v>男</v>
      </c>
      <c r="E1521" s="3" t="str">
        <f>"2507015231"</f>
        <v>2507015231</v>
      </c>
      <c r="F1521" s="3" t="str">
        <f t="shared" si="150"/>
        <v>52</v>
      </c>
      <c r="G1521" s="4" t="str">
        <f>"31"</f>
        <v>31</v>
      </c>
      <c r="H1521" s="5">
        <v>83.3</v>
      </c>
      <c r="I1521" s="3"/>
    </row>
    <row r="1522" customHeight="1" spans="1:9">
      <c r="A1522" s="3" t="str">
        <f t="shared" si="151"/>
        <v>0106</v>
      </c>
      <c r="B1522" s="3" t="s">
        <v>20</v>
      </c>
      <c r="C1522" s="3" t="str">
        <f>"李蕊"</f>
        <v>李蕊</v>
      </c>
      <c r="D1522" s="3" t="str">
        <f>"女"</f>
        <v>女</v>
      </c>
      <c r="E1522" s="3" t="str">
        <f>"2507015301"</f>
        <v>2507015301</v>
      </c>
      <c r="F1522" s="3" t="str">
        <f t="shared" ref="F1522:F1552" si="153">"53"</f>
        <v>53</v>
      </c>
      <c r="G1522" s="4" t="str">
        <f>"01"</f>
        <v>01</v>
      </c>
      <c r="H1522" s="5">
        <v>74.9</v>
      </c>
      <c r="I1522" s="3"/>
    </row>
    <row r="1523" customHeight="1" spans="1:9">
      <c r="A1523" s="3" t="str">
        <f t="shared" si="151"/>
        <v>0106</v>
      </c>
      <c r="B1523" s="3" t="s">
        <v>20</v>
      </c>
      <c r="C1523" s="3" t="str">
        <f>"王子旭"</f>
        <v>王子旭</v>
      </c>
      <c r="D1523" s="3" t="str">
        <f>"男"</f>
        <v>男</v>
      </c>
      <c r="E1523" s="3" t="str">
        <f>"2507015302"</f>
        <v>2507015302</v>
      </c>
      <c r="F1523" s="3" t="str">
        <f t="shared" si="153"/>
        <v>53</v>
      </c>
      <c r="G1523" s="4" t="str">
        <f>"02"</f>
        <v>02</v>
      </c>
      <c r="H1523" s="5">
        <v>0</v>
      </c>
      <c r="I1523" s="3" t="s">
        <v>11</v>
      </c>
    </row>
    <row r="1524" customHeight="1" spans="1:9">
      <c r="A1524" s="3" t="str">
        <f t="shared" si="151"/>
        <v>0106</v>
      </c>
      <c r="B1524" s="3" t="s">
        <v>20</v>
      </c>
      <c r="C1524" s="3" t="str">
        <f>"李丰成"</f>
        <v>李丰成</v>
      </c>
      <c r="D1524" s="3" t="str">
        <f>"男"</f>
        <v>男</v>
      </c>
      <c r="E1524" s="3" t="str">
        <f>"2507015303"</f>
        <v>2507015303</v>
      </c>
      <c r="F1524" s="3" t="str">
        <f t="shared" si="153"/>
        <v>53</v>
      </c>
      <c r="G1524" s="4" t="str">
        <f>"03"</f>
        <v>03</v>
      </c>
      <c r="H1524" s="5">
        <v>78.3</v>
      </c>
      <c r="I1524" s="3"/>
    </row>
    <row r="1525" customHeight="1" spans="1:9">
      <c r="A1525" s="3" t="str">
        <f t="shared" si="151"/>
        <v>0106</v>
      </c>
      <c r="B1525" s="3" t="s">
        <v>20</v>
      </c>
      <c r="C1525" s="3" t="str">
        <f>"侯琪"</f>
        <v>侯琪</v>
      </c>
      <c r="D1525" s="3" t="str">
        <f>"男"</f>
        <v>男</v>
      </c>
      <c r="E1525" s="3" t="str">
        <f>"2507015304"</f>
        <v>2507015304</v>
      </c>
      <c r="F1525" s="3" t="str">
        <f t="shared" si="153"/>
        <v>53</v>
      </c>
      <c r="G1525" s="4" t="str">
        <f>"04"</f>
        <v>04</v>
      </c>
      <c r="H1525" s="5">
        <v>56.8</v>
      </c>
      <c r="I1525" s="3"/>
    </row>
    <row r="1526" customHeight="1" spans="1:9">
      <c r="A1526" s="3" t="str">
        <f t="shared" si="151"/>
        <v>0106</v>
      </c>
      <c r="B1526" s="3" t="s">
        <v>20</v>
      </c>
      <c r="C1526" s="3" t="str">
        <f>"王菲"</f>
        <v>王菲</v>
      </c>
      <c r="D1526" s="3" t="str">
        <f>"女"</f>
        <v>女</v>
      </c>
      <c r="E1526" s="3" t="str">
        <f>"2507015305"</f>
        <v>2507015305</v>
      </c>
      <c r="F1526" s="3" t="str">
        <f t="shared" si="153"/>
        <v>53</v>
      </c>
      <c r="G1526" s="4" t="str">
        <f>"05"</f>
        <v>05</v>
      </c>
      <c r="H1526" s="5">
        <v>78.3</v>
      </c>
      <c r="I1526" s="3"/>
    </row>
    <row r="1527" customHeight="1" spans="1:9">
      <c r="A1527" s="3" t="str">
        <f t="shared" si="151"/>
        <v>0106</v>
      </c>
      <c r="B1527" s="3" t="s">
        <v>20</v>
      </c>
      <c r="C1527" s="3" t="str">
        <f>"张传彬"</f>
        <v>张传彬</v>
      </c>
      <c r="D1527" s="3" t="str">
        <f>"男"</f>
        <v>男</v>
      </c>
      <c r="E1527" s="3" t="str">
        <f>"2507015306"</f>
        <v>2507015306</v>
      </c>
      <c r="F1527" s="3" t="str">
        <f t="shared" si="153"/>
        <v>53</v>
      </c>
      <c r="G1527" s="4" t="str">
        <f>"06"</f>
        <v>06</v>
      </c>
      <c r="H1527" s="5">
        <v>60.3</v>
      </c>
      <c r="I1527" s="3"/>
    </row>
    <row r="1528" customHeight="1" spans="1:9">
      <c r="A1528" s="3" t="str">
        <f t="shared" si="151"/>
        <v>0106</v>
      </c>
      <c r="B1528" s="3" t="s">
        <v>20</v>
      </c>
      <c r="C1528" s="3" t="str">
        <f>"赵子翱"</f>
        <v>赵子翱</v>
      </c>
      <c r="D1528" s="3" t="str">
        <f>"男"</f>
        <v>男</v>
      </c>
      <c r="E1528" s="3" t="str">
        <f>"2507015307"</f>
        <v>2507015307</v>
      </c>
      <c r="F1528" s="3" t="str">
        <f t="shared" si="153"/>
        <v>53</v>
      </c>
      <c r="G1528" s="4" t="str">
        <f>"07"</f>
        <v>07</v>
      </c>
      <c r="H1528" s="5">
        <v>65</v>
      </c>
      <c r="I1528" s="3"/>
    </row>
    <row r="1529" customHeight="1" spans="1:9">
      <c r="A1529" s="3" t="str">
        <f t="shared" si="151"/>
        <v>0106</v>
      </c>
      <c r="B1529" s="3" t="s">
        <v>20</v>
      </c>
      <c r="C1529" s="3" t="str">
        <f>"杨盼盼"</f>
        <v>杨盼盼</v>
      </c>
      <c r="D1529" s="3" t="str">
        <f>"女"</f>
        <v>女</v>
      </c>
      <c r="E1529" s="3" t="str">
        <f>"2507015308"</f>
        <v>2507015308</v>
      </c>
      <c r="F1529" s="3" t="str">
        <f t="shared" si="153"/>
        <v>53</v>
      </c>
      <c r="G1529" s="4" t="str">
        <f>"08"</f>
        <v>08</v>
      </c>
      <c r="H1529" s="5">
        <v>75.6</v>
      </c>
      <c r="I1529" s="3"/>
    </row>
    <row r="1530" customHeight="1" spans="1:9">
      <c r="A1530" s="3" t="str">
        <f t="shared" si="151"/>
        <v>0106</v>
      </c>
      <c r="B1530" s="3" t="s">
        <v>20</v>
      </c>
      <c r="C1530" s="3" t="str">
        <f>"李晓慧"</f>
        <v>李晓慧</v>
      </c>
      <c r="D1530" s="3" t="str">
        <f>"女"</f>
        <v>女</v>
      </c>
      <c r="E1530" s="3" t="str">
        <f>"2507015309"</f>
        <v>2507015309</v>
      </c>
      <c r="F1530" s="3" t="str">
        <f t="shared" si="153"/>
        <v>53</v>
      </c>
      <c r="G1530" s="4" t="str">
        <f>"09"</f>
        <v>09</v>
      </c>
      <c r="H1530" s="5">
        <v>83.2</v>
      </c>
      <c r="I1530" s="3"/>
    </row>
    <row r="1531" customHeight="1" spans="1:9">
      <c r="A1531" s="3" t="str">
        <f t="shared" si="151"/>
        <v>0106</v>
      </c>
      <c r="B1531" s="3" t="s">
        <v>20</v>
      </c>
      <c r="C1531" s="3" t="str">
        <f>"王文扬"</f>
        <v>王文扬</v>
      </c>
      <c r="D1531" s="3" t="str">
        <f>"男"</f>
        <v>男</v>
      </c>
      <c r="E1531" s="3" t="str">
        <f>"2507015310"</f>
        <v>2507015310</v>
      </c>
      <c r="F1531" s="3" t="str">
        <f t="shared" si="153"/>
        <v>53</v>
      </c>
      <c r="G1531" s="4" t="str">
        <f>"10"</f>
        <v>10</v>
      </c>
      <c r="H1531" s="5">
        <v>69.4</v>
      </c>
      <c r="I1531" s="3"/>
    </row>
    <row r="1532" customHeight="1" spans="1:9">
      <c r="A1532" s="3" t="str">
        <f t="shared" si="151"/>
        <v>0106</v>
      </c>
      <c r="B1532" s="3" t="s">
        <v>20</v>
      </c>
      <c r="C1532" s="3" t="str">
        <f>"邱磊"</f>
        <v>邱磊</v>
      </c>
      <c r="D1532" s="3" t="str">
        <f>"男"</f>
        <v>男</v>
      </c>
      <c r="E1532" s="3" t="str">
        <f>"2507015311"</f>
        <v>2507015311</v>
      </c>
      <c r="F1532" s="3" t="str">
        <f t="shared" si="153"/>
        <v>53</v>
      </c>
      <c r="G1532" s="4" t="str">
        <f>"11"</f>
        <v>11</v>
      </c>
      <c r="H1532" s="5">
        <v>80.3</v>
      </c>
      <c r="I1532" s="3"/>
    </row>
    <row r="1533" customHeight="1" spans="1:9">
      <c r="A1533" s="3" t="str">
        <f t="shared" si="151"/>
        <v>0106</v>
      </c>
      <c r="B1533" s="3" t="s">
        <v>20</v>
      </c>
      <c r="C1533" s="3" t="str">
        <f>"陈为双"</f>
        <v>陈为双</v>
      </c>
      <c r="D1533" s="3" t="str">
        <f>"男"</f>
        <v>男</v>
      </c>
      <c r="E1533" s="3" t="str">
        <f>"2507015312"</f>
        <v>2507015312</v>
      </c>
      <c r="F1533" s="3" t="str">
        <f t="shared" si="153"/>
        <v>53</v>
      </c>
      <c r="G1533" s="4" t="str">
        <f>"12"</f>
        <v>12</v>
      </c>
      <c r="H1533" s="5">
        <v>76.2</v>
      </c>
      <c r="I1533" s="3"/>
    </row>
    <row r="1534" customHeight="1" spans="1:9">
      <c r="A1534" s="3" t="str">
        <f t="shared" si="151"/>
        <v>0106</v>
      </c>
      <c r="B1534" s="3" t="s">
        <v>20</v>
      </c>
      <c r="C1534" s="3" t="str">
        <f>"王小波"</f>
        <v>王小波</v>
      </c>
      <c r="D1534" s="3" t="str">
        <f>"男"</f>
        <v>男</v>
      </c>
      <c r="E1534" s="3" t="str">
        <f>"2507015313"</f>
        <v>2507015313</v>
      </c>
      <c r="F1534" s="3" t="str">
        <f t="shared" si="153"/>
        <v>53</v>
      </c>
      <c r="G1534" s="4" t="str">
        <f>"13"</f>
        <v>13</v>
      </c>
      <c r="H1534" s="5">
        <v>0</v>
      </c>
      <c r="I1534" s="3" t="s">
        <v>11</v>
      </c>
    </row>
    <row r="1535" customHeight="1" spans="1:9">
      <c r="A1535" s="3" t="str">
        <f t="shared" si="151"/>
        <v>0106</v>
      </c>
      <c r="B1535" s="3" t="s">
        <v>20</v>
      </c>
      <c r="C1535" s="3" t="str">
        <f>"戚争平"</f>
        <v>戚争平</v>
      </c>
      <c r="D1535" s="3" t="str">
        <f>"男"</f>
        <v>男</v>
      </c>
      <c r="E1535" s="3" t="str">
        <f>"2507015314"</f>
        <v>2507015314</v>
      </c>
      <c r="F1535" s="3" t="str">
        <f t="shared" si="153"/>
        <v>53</v>
      </c>
      <c r="G1535" s="4" t="str">
        <f>"14"</f>
        <v>14</v>
      </c>
      <c r="H1535" s="5">
        <v>0</v>
      </c>
      <c r="I1535" s="3" t="s">
        <v>11</v>
      </c>
    </row>
    <row r="1536" customHeight="1" spans="1:9">
      <c r="A1536" s="3" t="str">
        <f t="shared" si="151"/>
        <v>0106</v>
      </c>
      <c r="B1536" s="3" t="s">
        <v>20</v>
      </c>
      <c r="C1536" s="3" t="str">
        <f>"李芮"</f>
        <v>李芮</v>
      </c>
      <c r="D1536" s="3" t="str">
        <f>"女"</f>
        <v>女</v>
      </c>
      <c r="E1536" s="3" t="str">
        <f>"2507015315"</f>
        <v>2507015315</v>
      </c>
      <c r="F1536" s="3" t="str">
        <f t="shared" si="153"/>
        <v>53</v>
      </c>
      <c r="G1536" s="4" t="str">
        <f>"15"</f>
        <v>15</v>
      </c>
      <c r="H1536" s="5">
        <v>0</v>
      </c>
      <c r="I1536" s="3" t="s">
        <v>11</v>
      </c>
    </row>
    <row r="1537" customHeight="1" spans="1:9">
      <c r="A1537" s="3" t="str">
        <f t="shared" si="151"/>
        <v>0106</v>
      </c>
      <c r="B1537" s="3" t="s">
        <v>20</v>
      </c>
      <c r="C1537" s="3" t="str">
        <f>"王强"</f>
        <v>王强</v>
      </c>
      <c r="D1537" s="3" t="str">
        <f>"男"</f>
        <v>男</v>
      </c>
      <c r="E1537" s="3" t="str">
        <f>"2507015316"</f>
        <v>2507015316</v>
      </c>
      <c r="F1537" s="3" t="str">
        <f t="shared" si="153"/>
        <v>53</v>
      </c>
      <c r="G1537" s="4" t="str">
        <f>"16"</f>
        <v>16</v>
      </c>
      <c r="H1537" s="5">
        <v>50.5</v>
      </c>
      <c r="I1537" s="3"/>
    </row>
    <row r="1538" customHeight="1" spans="1:9">
      <c r="A1538" s="3" t="str">
        <f t="shared" si="151"/>
        <v>0106</v>
      </c>
      <c r="B1538" s="3" t="s">
        <v>20</v>
      </c>
      <c r="C1538" s="3" t="str">
        <f>"王栋洋"</f>
        <v>王栋洋</v>
      </c>
      <c r="D1538" s="3" t="str">
        <f>"男"</f>
        <v>男</v>
      </c>
      <c r="E1538" s="3" t="str">
        <f>"2507015317"</f>
        <v>2507015317</v>
      </c>
      <c r="F1538" s="3" t="str">
        <f t="shared" si="153"/>
        <v>53</v>
      </c>
      <c r="G1538" s="4" t="str">
        <f>"17"</f>
        <v>17</v>
      </c>
      <c r="H1538" s="5">
        <v>67.5</v>
      </c>
      <c r="I1538" s="3"/>
    </row>
    <row r="1539" customHeight="1" spans="1:9">
      <c r="A1539" s="3" t="str">
        <f t="shared" si="151"/>
        <v>0106</v>
      </c>
      <c r="B1539" s="3" t="s">
        <v>20</v>
      </c>
      <c r="C1539" s="3" t="str">
        <f>"张明聪"</f>
        <v>张明聪</v>
      </c>
      <c r="D1539" s="3" t="str">
        <f>"男"</f>
        <v>男</v>
      </c>
      <c r="E1539" s="3" t="str">
        <f>"2507015318"</f>
        <v>2507015318</v>
      </c>
      <c r="F1539" s="3" t="str">
        <f t="shared" si="153"/>
        <v>53</v>
      </c>
      <c r="G1539" s="4" t="str">
        <f>"18"</f>
        <v>18</v>
      </c>
      <c r="H1539" s="5">
        <v>0</v>
      </c>
      <c r="I1539" s="3" t="s">
        <v>11</v>
      </c>
    </row>
    <row r="1540" customHeight="1" spans="1:9">
      <c r="A1540" s="3" t="str">
        <f t="shared" si="151"/>
        <v>0106</v>
      </c>
      <c r="B1540" s="3" t="s">
        <v>20</v>
      </c>
      <c r="C1540" s="3" t="str">
        <f>"薛双爽"</f>
        <v>薛双爽</v>
      </c>
      <c r="D1540" s="3" t="str">
        <f>"女"</f>
        <v>女</v>
      </c>
      <c r="E1540" s="3" t="str">
        <f>"2507015319"</f>
        <v>2507015319</v>
      </c>
      <c r="F1540" s="3" t="str">
        <f t="shared" si="153"/>
        <v>53</v>
      </c>
      <c r="G1540" s="4" t="str">
        <f>"19"</f>
        <v>19</v>
      </c>
      <c r="H1540" s="5">
        <v>0</v>
      </c>
      <c r="I1540" s="3" t="s">
        <v>11</v>
      </c>
    </row>
    <row r="1541" customHeight="1" spans="1:9">
      <c r="A1541" s="3" t="str">
        <f t="shared" si="151"/>
        <v>0106</v>
      </c>
      <c r="B1541" s="3" t="s">
        <v>20</v>
      </c>
      <c r="C1541" s="3" t="str">
        <f>"王俊淞"</f>
        <v>王俊淞</v>
      </c>
      <c r="D1541" s="3" t="str">
        <f>"男"</f>
        <v>男</v>
      </c>
      <c r="E1541" s="3" t="str">
        <f>"2507015320"</f>
        <v>2507015320</v>
      </c>
      <c r="F1541" s="3" t="str">
        <f t="shared" si="153"/>
        <v>53</v>
      </c>
      <c r="G1541" s="4" t="str">
        <f>"20"</f>
        <v>20</v>
      </c>
      <c r="H1541" s="5">
        <v>0</v>
      </c>
      <c r="I1541" s="3" t="s">
        <v>11</v>
      </c>
    </row>
    <row r="1542" customHeight="1" spans="1:9">
      <c r="A1542" s="3" t="str">
        <f t="shared" si="151"/>
        <v>0106</v>
      </c>
      <c r="B1542" s="3" t="s">
        <v>20</v>
      </c>
      <c r="C1542" s="3" t="str">
        <f>"葛浩"</f>
        <v>葛浩</v>
      </c>
      <c r="D1542" s="3" t="str">
        <f>"男"</f>
        <v>男</v>
      </c>
      <c r="E1542" s="3" t="str">
        <f>"2507015321"</f>
        <v>2507015321</v>
      </c>
      <c r="F1542" s="3" t="str">
        <f t="shared" si="153"/>
        <v>53</v>
      </c>
      <c r="G1542" s="4" t="str">
        <f>"21"</f>
        <v>21</v>
      </c>
      <c r="H1542" s="5">
        <v>78.1</v>
      </c>
      <c r="I1542" s="3"/>
    </row>
    <row r="1543" customHeight="1" spans="1:9">
      <c r="A1543" s="3" t="str">
        <f t="shared" si="151"/>
        <v>0106</v>
      </c>
      <c r="B1543" s="3" t="s">
        <v>20</v>
      </c>
      <c r="C1543" s="3" t="str">
        <f>"奚浩"</f>
        <v>奚浩</v>
      </c>
      <c r="D1543" s="3" t="str">
        <f>"男"</f>
        <v>男</v>
      </c>
      <c r="E1543" s="3" t="str">
        <f>"2507015322"</f>
        <v>2507015322</v>
      </c>
      <c r="F1543" s="3" t="str">
        <f t="shared" si="153"/>
        <v>53</v>
      </c>
      <c r="G1543" s="4" t="str">
        <f>"22"</f>
        <v>22</v>
      </c>
      <c r="H1543" s="5">
        <v>83.8</v>
      </c>
      <c r="I1543" s="3"/>
    </row>
    <row r="1544" customHeight="1" spans="1:9">
      <c r="A1544" s="3" t="str">
        <f t="shared" si="151"/>
        <v>0106</v>
      </c>
      <c r="B1544" s="3" t="s">
        <v>20</v>
      </c>
      <c r="C1544" s="3" t="str">
        <f>"李文杰"</f>
        <v>李文杰</v>
      </c>
      <c r="D1544" s="3" t="str">
        <f>"男"</f>
        <v>男</v>
      </c>
      <c r="E1544" s="3" t="str">
        <f>"2507015323"</f>
        <v>2507015323</v>
      </c>
      <c r="F1544" s="3" t="str">
        <f t="shared" si="153"/>
        <v>53</v>
      </c>
      <c r="G1544" s="4" t="str">
        <f>"23"</f>
        <v>23</v>
      </c>
      <c r="H1544" s="5">
        <v>0</v>
      </c>
      <c r="I1544" s="3" t="s">
        <v>11</v>
      </c>
    </row>
    <row r="1545" customHeight="1" spans="1:9">
      <c r="A1545" s="3" t="str">
        <f t="shared" si="151"/>
        <v>0106</v>
      </c>
      <c r="B1545" s="3" t="s">
        <v>20</v>
      </c>
      <c r="C1545" s="3" t="str">
        <f>"吕姝慧"</f>
        <v>吕姝慧</v>
      </c>
      <c r="D1545" s="3" t="str">
        <f>"女"</f>
        <v>女</v>
      </c>
      <c r="E1545" s="3" t="str">
        <f>"2507015324"</f>
        <v>2507015324</v>
      </c>
      <c r="F1545" s="3" t="str">
        <f t="shared" si="153"/>
        <v>53</v>
      </c>
      <c r="G1545" s="4" t="str">
        <f>"24"</f>
        <v>24</v>
      </c>
      <c r="H1545" s="5">
        <v>72.2</v>
      </c>
      <c r="I1545" s="3"/>
    </row>
    <row r="1546" customHeight="1" spans="1:9">
      <c r="A1546" s="3" t="str">
        <f t="shared" si="151"/>
        <v>0106</v>
      </c>
      <c r="B1546" s="3" t="s">
        <v>20</v>
      </c>
      <c r="C1546" s="3" t="str">
        <f>"宋明轩"</f>
        <v>宋明轩</v>
      </c>
      <c r="D1546" s="3" t="str">
        <f t="shared" ref="D1546:D1554" si="154">"男"</f>
        <v>男</v>
      </c>
      <c r="E1546" s="3" t="str">
        <f>"2507015325"</f>
        <v>2507015325</v>
      </c>
      <c r="F1546" s="3" t="str">
        <f t="shared" si="153"/>
        <v>53</v>
      </c>
      <c r="G1546" s="4" t="str">
        <f>"25"</f>
        <v>25</v>
      </c>
      <c r="H1546" s="5">
        <v>75</v>
      </c>
      <c r="I1546" s="3"/>
    </row>
    <row r="1547" customHeight="1" spans="1:9">
      <c r="A1547" s="3" t="str">
        <f t="shared" si="151"/>
        <v>0106</v>
      </c>
      <c r="B1547" s="3" t="s">
        <v>20</v>
      </c>
      <c r="C1547" s="3" t="str">
        <f>"马腾建"</f>
        <v>马腾建</v>
      </c>
      <c r="D1547" s="3" t="str">
        <f t="shared" si="154"/>
        <v>男</v>
      </c>
      <c r="E1547" s="3" t="str">
        <f>"2507015326"</f>
        <v>2507015326</v>
      </c>
      <c r="F1547" s="3" t="str">
        <f t="shared" si="153"/>
        <v>53</v>
      </c>
      <c r="G1547" s="4" t="str">
        <f>"26"</f>
        <v>26</v>
      </c>
      <c r="H1547" s="5">
        <v>77.4</v>
      </c>
      <c r="I1547" s="3"/>
    </row>
    <row r="1548" customHeight="1" spans="1:9">
      <c r="A1548" s="3" t="str">
        <f t="shared" si="151"/>
        <v>0106</v>
      </c>
      <c r="B1548" s="3" t="s">
        <v>20</v>
      </c>
      <c r="C1548" s="3" t="str">
        <f>"曹世瞳"</f>
        <v>曹世瞳</v>
      </c>
      <c r="D1548" s="3" t="str">
        <f t="shared" si="154"/>
        <v>男</v>
      </c>
      <c r="E1548" s="3" t="str">
        <f>"2507015327"</f>
        <v>2507015327</v>
      </c>
      <c r="F1548" s="3" t="str">
        <f t="shared" si="153"/>
        <v>53</v>
      </c>
      <c r="G1548" s="4" t="str">
        <f>"27"</f>
        <v>27</v>
      </c>
      <c r="H1548" s="5">
        <v>86</v>
      </c>
      <c r="I1548" s="3"/>
    </row>
    <row r="1549" customHeight="1" spans="1:9">
      <c r="A1549" s="3" t="str">
        <f t="shared" si="151"/>
        <v>0106</v>
      </c>
      <c r="B1549" s="3" t="s">
        <v>20</v>
      </c>
      <c r="C1549" s="3" t="str">
        <f>"孔繁霖"</f>
        <v>孔繁霖</v>
      </c>
      <c r="D1549" s="3" t="str">
        <f t="shared" si="154"/>
        <v>男</v>
      </c>
      <c r="E1549" s="3" t="str">
        <f>"2507015328"</f>
        <v>2507015328</v>
      </c>
      <c r="F1549" s="3" t="str">
        <f t="shared" si="153"/>
        <v>53</v>
      </c>
      <c r="G1549" s="4" t="str">
        <f>"28"</f>
        <v>28</v>
      </c>
      <c r="H1549" s="5">
        <v>0</v>
      </c>
      <c r="I1549" s="3" t="s">
        <v>11</v>
      </c>
    </row>
    <row r="1550" customHeight="1" spans="1:9">
      <c r="A1550" s="3" t="str">
        <f t="shared" si="151"/>
        <v>0106</v>
      </c>
      <c r="B1550" s="3" t="s">
        <v>20</v>
      </c>
      <c r="C1550" s="3" t="str">
        <f>"楚守强"</f>
        <v>楚守强</v>
      </c>
      <c r="D1550" s="3" t="str">
        <f t="shared" si="154"/>
        <v>男</v>
      </c>
      <c r="E1550" s="3" t="str">
        <f>"2507015329"</f>
        <v>2507015329</v>
      </c>
      <c r="F1550" s="3" t="str">
        <f t="shared" si="153"/>
        <v>53</v>
      </c>
      <c r="G1550" s="4" t="str">
        <f>"29"</f>
        <v>29</v>
      </c>
      <c r="H1550" s="5">
        <v>77.6</v>
      </c>
      <c r="I1550" s="3"/>
    </row>
    <row r="1551" customHeight="1" spans="1:9">
      <c r="A1551" s="3" t="str">
        <f t="shared" si="151"/>
        <v>0106</v>
      </c>
      <c r="B1551" s="3" t="s">
        <v>20</v>
      </c>
      <c r="C1551" s="3" t="str">
        <f>"孔凡齐"</f>
        <v>孔凡齐</v>
      </c>
      <c r="D1551" s="3" t="str">
        <f t="shared" si="154"/>
        <v>男</v>
      </c>
      <c r="E1551" s="3" t="str">
        <f>"2507015330"</f>
        <v>2507015330</v>
      </c>
      <c r="F1551" s="3" t="str">
        <f t="shared" si="153"/>
        <v>53</v>
      </c>
      <c r="G1551" s="4" t="str">
        <f>"30"</f>
        <v>30</v>
      </c>
      <c r="H1551" s="5">
        <v>62</v>
      </c>
      <c r="I1551" s="3"/>
    </row>
    <row r="1552" customHeight="1" spans="1:9">
      <c r="A1552" s="3" t="str">
        <f t="shared" si="151"/>
        <v>0106</v>
      </c>
      <c r="B1552" s="3" t="s">
        <v>20</v>
      </c>
      <c r="C1552" s="3" t="str">
        <f>"王炜"</f>
        <v>王炜</v>
      </c>
      <c r="D1552" s="3" t="str">
        <f t="shared" si="154"/>
        <v>男</v>
      </c>
      <c r="E1552" s="3" t="str">
        <f>"2507015331"</f>
        <v>2507015331</v>
      </c>
      <c r="F1552" s="3" t="str">
        <f t="shared" si="153"/>
        <v>53</v>
      </c>
      <c r="G1552" s="4" t="str">
        <f>"31"</f>
        <v>31</v>
      </c>
      <c r="H1552" s="5">
        <v>68.7</v>
      </c>
      <c r="I1552" s="3"/>
    </row>
    <row r="1553" customHeight="1" spans="1:9">
      <c r="A1553" s="3" t="str">
        <f t="shared" si="151"/>
        <v>0106</v>
      </c>
      <c r="B1553" s="3" t="s">
        <v>20</v>
      </c>
      <c r="C1553" s="3" t="str">
        <f>"丁振"</f>
        <v>丁振</v>
      </c>
      <c r="D1553" s="3" t="str">
        <f t="shared" si="154"/>
        <v>男</v>
      </c>
      <c r="E1553" s="3" t="str">
        <f>"2507015401"</f>
        <v>2507015401</v>
      </c>
      <c r="F1553" s="3" t="str">
        <f t="shared" ref="F1553:F1583" si="155">"54"</f>
        <v>54</v>
      </c>
      <c r="G1553" s="4" t="str">
        <f>"01"</f>
        <v>01</v>
      </c>
      <c r="H1553" s="5">
        <v>0</v>
      </c>
      <c r="I1553" s="3" t="s">
        <v>11</v>
      </c>
    </row>
    <row r="1554" customHeight="1" spans="1:9">
      <c r="A1554" s="3" t="str">
        <f t="shared" si="151"/>
        <v>0106</v>
      </c>
      <c r="B1554" s="3" t="s">
        <v>20</v>
      </c>
      <c r="C1554" s="3" t="str">
        <f>"刘海涛"</f>
        <v>刘海涛</v>
      </c>
      <c r="D1554" s="3" t="str">
        <f t="shared" si="154"/>
        <v>男</v>
      </c>
      <c r="E1554" s="3" t="str">
        <f>"2507015402"</f>
        <v>2507015402</v>
      </c>
      <c r="F1554" s="3" t="str">
        <f t="shared" si="155"/>
        <v>54</v>
      </c>
      <c r="G1554" s="4" t="str">
        <f>"02"</f>
        <v>02</v>
      </c>
      <c r="H1554" s="5">
        <v>0</v>
      </c>
      <c r="I1554" s="3" t="s">
        <v>11</v>
      </c>
    </row>
    <row r="1555" customHeight="1" spans="1:9">
      <c r="A1555" s="3" t="str">
        <f t="shared" si="151"/>
        <v>0106</v>
      </c>
      <c r="B1555" s="3" t="s">
        <v>20</v>
      </c>
      <c r="C1555" s="3" t="str">
        <f>"车欣洋"</f>
        <v>车欣洋</v>
      </c>
      <c r="D1555" s="3" t="str">
        <f>"女"</f>
        <v>女</v>
      </c>
      <c r="E1555" s="3" t="str">
        <f>"2507015403"</f>
        <v>2507015403</v>
      </c>
      <c r="F1555" s="3" t="str">
        <f t="shared" si="155"/>
        <v>54</v>
      </c>
      <c r="G1555" s="4" t="str">
        <f>"03"</f>
        <v>03</v>
      </c>
      <c r="H1555" s="5">
        <v>69.7</v>
      </c>
      <c r="I1555" s="3"/>
    </row>
    <row r="1556" customHeight="1" spans="1:9">
      <c r="A1556" s="3" t="str">
        <f t="shared" si="151"/>
        <v>0106</v>
      </c>
      <c r="B1556" s="3" t="s">
        <v>20</v>
      </c>
      <c r="C1556" s="3" t="str">
        <f>"单威"</f>
        <v>单威</v>
      </c>
      <c r="D1556" s="3" t="str">
        <f>"男"</f>
        <v>男</v>
      </c>
      <c r="E1556" s="3" t="str">
        <f>"2507015404"</f>
        <v>2507015404</v>
      </c>
      <c r="F1556" s="3" t="str">
        <f t="shared" si="155"/>
        <v>54</v>
      </c>
      <c r="G1556" s="4" t="str">
        <f>"04"</f>
        <v>04</v>
      </c>
      <c r="H1556" s="5">
        <v>77.4</v>
      </c>
      <c r="I1556" s="3"/>
    </row>
    <row r="1557" customHeight="1" spans="1:9">
      <c r="A1557" s="3" t="str">
        <f t="shared" si="151"/>
        <v>0106</v>
      </c>
      <c r="B1557" s="3" t="s">
        <v>20</v>
      </c>
      <c r="C1557" s="3" t="str">
        <f>"李虎"</f>
        <v>李虎</v>
      </c>
      <c r="D1557" s="3" t="str">
        <f>"男"</f>
        <v>男</v>
      </c>
      <c r="E1557" s="3" t="str">
        <f>"2507015405"</f>
        <v>2507015405</v>
      </c>
      <c r="F1557" s="3" t="str">
        <f t="shared" si="155"/>
        <v>54</v>
      </c>
      <c r="G1557" s="4" t="str">
        <f>"05"</f>
        <v>05</v>
      </c>
      <c r="H1557" s="5">
        <v>0</v>
      </c>
      <c r="I1557" s="3" t="s">
        <v>11</v>
      </c>
    </row>
    <row r="1558" customHeight="1" spans="1:9">
      <c r="A1558" s="3" t="str">
        <f t="shared" si="151"/>
        <v>0106</v>
      </c>
      <c r="B1558" s="3" t="s">
        <v>20</v>
      </c>
      <c r="C1558" s="3" t="str">
        <f>"朱友意"</f>
        <v>朱友意</v>
      </c>
      <c r="D1558" s="3" t="str">
        <f>"男"</f>
        <v>男</v>
      </c>
      <c r="E1558" s="3" t="str">
        <f>"2507015406"</f>
        <v>2507015406</v>
      </c>
      <c r="F1558" s="3" t="str">
        <f t="shared" si="155"/>
        <v>54</v>
      </c>
      <c r="G1558" s="4" t="str">
        <f>"06"</f>
        <v>06</v>
      </c>
      <c r="H1558" s="5">
        <v>67.9</v>
      </c>
      <c r="I1558" s="3"/>
    </row>
    <row r="1559" customHeight="1" spans="1:9">
      <c r="A1559" s="3" t="str">
        <f t="shared" ref="A1559:A1622" si="156">"0106"</f>
        <v>0106</v>
      </c>
      <c r="B1559" s="3" t="s">
        <v>20</v>
      </c>
      <c r="C1559" s="3" t="str">
        <f>"王全鑫"</f>
        <v>王全鑫</v>
      </c>
      <c r="D1559" s="3" t="str">
        <f>"男"</f>
        <v>男</v>
      </c>
      <c r="E1559" s="3" t="str">
        <f>"2507015407"</f>
        <v>2507015407</v>
      </c>
      <c r="F1559" s="3" t="str">
        <f t="shared" si="155"/>
        <v>54</v>
      </c>
      <c r="G1559" s="4" t="str">
        <f>"07"</f>
        <v>07</v>
      </c>
      <c r="H1559" s="5">
        <v>0</v>
      </c>
      <c r="I1559" s="3" t="s">
        <v>11</v>
      </c>
    </row>
    <row r="1560" customHeight="1" spans="1:9">
      <c r="A1560" s="3" t="str">
        <f t="shared" si="156"/>
        <v>0106</v>
      </c>
      <c r="B1560" s="3" t="s">
        <v>20</v>
      </c>
      <c r="C1560" s="3" t="str">
        <f>"任晓倩"</f>
        <v>任晓倩</v>
      </c>
      <c r="D1560" s="3" t="str">
        <f>"女"</f>
        <v>女</v>
      </c>
      <c r="E1560" s="3" t="str">
        <f>"2507015408"</f>
        <v>2507015408</v>
      </c>
      <c r="F1560" s="3" t="str">
        <f t="shared" si="155"/>
        <v>54</v>
      </c>
      <c r="G1560" s="4" t="str">
        <f>"08"</f>
        <v>08</v>
      </c>
      <c r="H1560" s="5">
        <v>52.9</v>
      </c>
      <c r="I1560" s="3"/>
    </row>
    <row r="1561" customHeight="1" spans="1:9">
      <c r="A1561" s="3" t="str">
        <f t="shared" si="156"/>
        <v>0106</v>
      </c>
      <c r="B1561" s="3" t="s">
        <v>20</v>
      </c>
      <c r="C1561" s="3" t="str">
        <f>"尹鹏程"</f>
        <v>尹鹏程</v>
      </c>
      <c r="D1561" s="3" t="str">
        <f>"男"</f>
        <v>男</v>
      </c>
      <c r="E1561" s="3" t="str">
        <f>"2507015409"</f>
        <v>2507015409</v>
      </c>
      <c r="F1561" s="3" t="str">
        <f t="shared" si="155"/>
        <v>54</v>
      </c>
      <c r="G1561" s="4" t="str">
        <f>"09"</f>
        <v>09</v>
      </c>
      <c r="H1561" s="5">
        <v>0</v>
      </c>
      <c r="I1561" s="3" t="s">
        <v>11</v>
      </c>
    </row>
    <row r="1562" customHeight="1" spans="1:9">
      <c r="A1562" s="3" t="str">
        <f t="shared" si="156"/>
        <v>0106</v>
      </c>
      <c r="B1562" s="3" t="s">
        <v>20</v>
      </c>
      <c r="C1562" s="3" t="str">
        <f>"刘骏腾"</f>
        <v>刘骏腾</v>
      </c>
      <c r="D1562" s="3" t="str">
        <f>"男"</f>
        <v>男</v>
      </c>
      <c r="E1562" s="3" t="str">
        <f>"2507015410"</f>
        <v>2507015410</v>
      </c>
      <c r="F1562" s="3" t="str">
        <f t="shared" si="155"/>
        <v>54</v>
      </c>
      <c r="G1562" s="4" t="str">
        <f>"10"</f>
        <v>10</v>
      </c>
      <c r="H1562" s="5">
        <v>0</v>
      </c>
      <c r="I1562" s="3" t="s">
        <v>11</v>
      </c>
    </row>
    <row r="1563" customHeight="1" spans="1:9">
      <c r="A1563" s="3" t="str">
        <f t="shared" si="156"/>
        <v>0106</v>
      </c>
      <c r="B1563" s="3" t="s">
        <v>20</v>
      </c>
      <c r="C1563" s="3" t="str">
        <f>"段富强"</f>
        <v>段富强</v>
      </c>
      <c r="D1563" s="3" t="str">
        <f>"男"</f>
        <v>男</v>
      </c>
      <c r="E1563" s="3" t="str">
        <f>"2507015411"</f>
        <v>2507015411</v>
      </c>
      <c r="F1563" s="3" t="str">
        <f t="shared" si="155"/>
        <v>54</v>
      </c>
      <c r="G1563" s="4" t="str">
        <f>"11"</f>
        <v>11</v>
      </c>
      <c r="H1563" s="5">
        <v>0</v>
      </c>
      <c r="I1563" s="3" t="s">
        <v>11</v>
      </c>
    </row>
    <row r="1564" customHeight="1" spans="1:9">
      <c r="A1564" s="3" t="str">
        <f t="shared" si="156"/>
        <v>0106</v>
      </c>
      <c r="B1564" s="3" t="s">
        <v>20</v>
      </c>
      <c r="C1564" s="3" t="str">
        <f>"孙藏"</f>
        <v>孙藏</v>
      </c>
      <c r="D1564" s="3" t="str">
        <f>"女"</f>
        <v>女</v>
      </c>
      <c r="E1564" s="3" t="str">
        <f>"2507015412"</f>
        <v>2507015412</v>
      </c>
      <c r="F1564" s="3" t="str">
        <f t="shared" si="155"/>
        <v>54</v>
      </c>
      <c r="G1564" s="4" t="str">
        <f>"12"</f>
        <v>12</v>
      </c>
      <c r="H1564" s="5">
        <v>0</v>
      </c>
      <c r="I1564" s="3" t="s">
        <v>11</v>
      </c>
    </row>
    <row r="1565" customHeight="1" spans="1:9">
      <c r="A1565" s="3" t="str">
        <f t="shared" si="156"/>
        <v>0106</v>
      </c>
      <c r="B1565" s="3" t="s">
        <v>20</v>
      </c>
      <c r="C1565" s="3" t="str">
        <f>"王俊杰"</f>
        <v>王俊杰</v>
      </c>
      <c r="D1565" s="3" t="str">
        <f>"男"</f>
        <v>男</v>
      </c>
      <c r="E1565" s="3" t="str">
        <f>"2507015413"</f>
        <v>2507015413</v>
      </c>
      <c r="F1565" s="3" t="str">
        <f t="shared" si="155"/>
        <v>54</v>
      </c>
      <c r="G1565" s="4" t="str">
        <f>"13"</f>
        <v>13</v>
      </c>
      <c r="H1565" s="5">
        <v>51.1</v>
      </c>
      <c r="I1565" s="3"/>
    </row>
    <row r="1566" customHeight="1" spans="1:9">
      <c r="A1566" s="3" t="str">
        <f t="shared" si="156"/>
        <v>0106</v>
      </c>
      <c r="B1566" s="3" t="s">
        <v>20</v>
      </c>
      <c r="C1566" s="3" t="str">
        <f>"赵永峰"</f>
        <v>赵永峰</v>
      </c>
      <c r="D1566" s="3" t="str">
        <f>"男"</f>
        <v>男</v>
      </c>
      <c r="E1566" s="3" t="str">
        <f>"2507015414"</f>
        <v>2507015414</v>
      </c>
      <c r="F1566" s="3" t="str">
        <f t="shared" si="155"/>
        <v>54</v>
      </c>
      <c r="G1566" s="4" t="str">
        <f>"14"</f>
        <v>14</v>
      </c>
      <c r="H1566" s="5">
        <v>77.2</v>
      </c>
      <c r="I1566" s="3"/>
    </row>
    <row r="1567" customHeight="1" spans="1:9">
      <c r="A1567" s="3" t="str">
        <f t="shared" si="156"/>
        <v>0106</v>
      </c>
      <c r="B1567" s="3" t="s">
        <v>20</v>
      </c>
      <c r="C1567" s="3" t="str">
        <f>"费振航"</f>
        <v>费振航</v>
      </c>
      <c r="D1567" s="3" t="str">
        <f>"男"</f>
        <v>男</v>
      </c>
      <c r="E1567" s="3" t="str">
        <f>"2507015415"</f>
        <v>2507015415</v>
      </c>
      <c r="F1567" s="3" t="str">
        <f t="shared" si="155"/>
        <v>54</v>
      </c>
      <c r="G1567" s="4" t="str">
        <f>"15"</f>
        <v>15</v>
      </c>
      <c r="H1567" s="5">
        <v>72.7</v>
      </c>
      <c r="I1567" s="3"/>
    </row>
    <row r="1568" customHeight="1" spans="1:9">
      <c r="A1568" s="3" t="str">
        <f t="shared" si="156"/>
        <v>0106</v>
      </c>
      <c r="B1568" s="3" t="s">
        <v>20</v>
      </c>
      <c r="C1568" s="3" t="str">
        <f>"邓祥卓"</f>
        <v>邓祥卓</v>
      </c>
      <c r="D1568" s="3" t="str">
        <f>"男"</f>
        <v>男</v>
      </c>
      <c r="E1568" s="3" t="str">
        <f>"2507015416"</f>
        <v>2507015416</v>
      </c>
      <c r="F1568" s="3" t="str">
        <f t="shared" si="155"/>
        <v>54</v>
      </c>
      <c r="G1568" s="4" t="str">
        <f>"16"</f>
        <v>16</v>
      </c>
      <c r="H1568" s="5">
        <v>0</v>
      </c>
      <c r="I1568" s="3" t="s">
        <v>11</v>
      </c>
    </row>
    <row r="1569" customHeight="1" spans="1:9">
      <c r="A1569" s="3" t="str">
        <f t="shared" si="156"/>
        <v>0106</v>
      </c>
      <c r="B1569" s="3" t="s">
        <v>20</v>
      </c>
      <c r="C1569" s="3" t="str">
        <f>"于飞"</f>
        <v>于飞</v>
      </c>
      <c r="D1569" s="3" t="str">
        <f>"男"</f>
        <v>男</v>
      </c>
      <c r="E1569" s="3" t="str">
        <f>"2507015417"</f>
        <v>2507015417</v>
      </c>
      <c r="F1569" s="3" t="str">
        <f t="shared" si="155"/>
        <v>54</v>
      </c>
      <c r="G1569" s="4" t="str">
        <f>"17"</f>
        <v>17</v>
      </c>
      <c r="H1569" s="5">
        <v>65.3</v>
      </c>
      <c r="I1569" s="3"/>
    </row>
    <row r="1570" customHeight="1" spans="1:9">
      <c r="A1570" s="3" t="str">
        <f t="shared" si="156"/>
        <v>0106</v>
      </c>
      <c r="B1570" s="3" t="s">
        <v>20</v>
      </c>
      <c r="C1570" s="3" t="str">
        <f>"吴清清"</f>
        <v>吴清清</v>
      </c>
      <c r="D1570" s="3" t="str">
        <f>"女"</f>
        <v>女</v>
      </c>
      <c r="E1570" s="3" t="str">
        <f>"2507015418"</f>
        <v>2507015418</v>
      </c>
      <c r="F1570" s="3" t="str">
        <f t="shared" si="155"/>
        <v>54</v>
      </c>
      <c r="G1570" s="4" t="str">
        <f>"18"</f>
        <v>18</v>
      </c>
      <c r="H1570" s="5">
        <v>0</v>
      </c>
      <c r="I1570" s="3" t="s">
        <v>11</v>
      </c>
    </row>
    <row r="1571" customHeight="1" spans="1:9">
      <c r="A1571" s="3" t="str">
        <f t="shared" si="156"/>
        <v>0106</v>
      </c>
      <c r="B1571" s="3" t="s">
        <v>20</v>
      </c>
      <c r="C1571" s="3" t="str">
        <f>"李洪喜"</f>
        <v>李洪喜</v>
      </c>
      <c r="D1571" s="3" t="str">
        <f>"男"</f>
        <v>男</v>
      </c>
      <c r="E1571" s="3" t="str">
        <f>"2507015419"</f>
        <v>2507015419</v>
      </c>
      <c r="F1571" s="3" t="str">
        <f t="shared" si="155"/>
        <v>54</v>
      </c>
      <c r="G1571" s="4" t="str">
        <f>"19"</f>
        <v>19</v>
      </c>
      <c r="H1571" s="5">
        <v>0</v>
      </c>
      <c r="I1571" s="3" t="s">
        <v>11</v>
      </c>
    </row>
    <row r="1572" customHeight="1" spans="1:9">
      <c r="A1572" s="3" t="str">
        <f t="shared" si="156"/>
        <v>0106</v>
      </c>
      <c r="B1572" s="3" t="s">
        <v>20</v>
      </c>
      <c r="C1572" s="3" t="str">
        <f>"顾善达"</f>
        <v>顾善达</v>
      </c>
      <c r="D1572" s="3" t="str">
        <f>"男"</f>
        <v>男</v>
      </c>
      <c r="E1572" s="3" t="str">
        <f>"2507015420"</f>
        <v>2507015420</v>
      </c>
      <c r="F1572" s="3" t="str">
        <f t="shared" si="155"/>
        <v>54</v>
      </c>
      <c r="G1572" s="4" t="str">
        <f>"20"</f>
        <v>20</v>
      </c>
      <c r="H1572" s="5">
        <v>0</v>
      </c>
      <c r="I1572" s="3" t="s">
        <v>11</v>
      </c>
    </row>
    <row r="1573" customHeight="1" spans="1:9">
      <c r="A1573" s="3" t="str">
        <f t="shared" si="156"/>
        <v>0106</v>
      </c>
      <c r="B1573" s="3" t="s">
        <v>20</v>
      </c>
      <c r="C1573" s="3" t="str">
        <f>"王嫚"</f>
        <v>王嫚</v>
      </c>
      <c r="D1573" s="3" t="str">
        <f>"女"</f>
        <v>女</v>
      </c>
      <c r="E1573" s="3" t="str">
        <f>"2507015421"</f>
        <v>2507015421</v>
      </c>
      <c r="F1573" s="3" t="str">
        <f t="shared" si="155"/>
        <v>54</v>
      </c>
      <c r="G1573" s="4" t="str">
        <f>"21"</f>
        <v>21</v>
      </c>
      <c r="H1573" s="5">
        <v>72.6</v>
      </c>
      <c r="I1573" s="3"/>
    </row>
    <row r="1574" customHeight="1" spans="1:9">
      <c r="A1574" s="3" t="str">
        <f t="shared" si="156"/>
        <v>0106</v>
      </c>
      <c r="B1574" s="3" t="s">
        <v>20</v>
      </c>
      <c r="C1574" s="3" t="str">
        <f>"吴琼"</f>
        <v>吴琼</v>
      </c>
      <c r="D1574" s="3" t="str">
        <f>"女"</f>
        <v>女</v>
      </c>
      <c r="E1574" s="3" t="str">
        <f>"2507015422"</f>
        <v>2507015422</v>
      </c>
      <c r="F1574" s="3" t="str">
        <f t="shared" si="155"/>
        <v>54</v>
      </c>
      <c r="G1574" s="4" t="str">
        <f>"22"</f>
        <v>22</v>
      </c>
      <c r="H1574" s="5">
        <v>0</v>
      </c>
      <c r="I1574" s="3" t="s">
        <v>11</v>
      </c>
    </row>
    <row r="1575" customHeight="1" spans="1:9">
      <c r="A1575" s="3" t="str">
        <f t="shared" si="156"/>
        <v>0106</v>
      </c>
      <c r="B1575" s="3" t="s">
        <v>20</v>
      </c>
      <c r="C1575" s="3" t="str">
        <f>"杨婉茹"</f>
        <v>杨婉茹</v>
      </c>
      <c r="D1575" s="3" t="str">
        <f>"女"</f>
        <v>女</v>
      </c>
      <c r="E1575" s="3" t="str">
        <f>"2507015423"</f>
        <v>2507015423</v>
      </c>
      <c r="F1575" s="3" t="str">
        <f t="shared" si="155"/>
        <v>54</v>
      </c>
      <c r="G1575" s="4" t="str">
        <f>"23"</f>
        <v>23</v>
      </c>
      <c r="H1575" s="5">
        <v>62.6</v>
      </c>
      <c r="I1575" s="3"/>
    </row>
    <row r="1576" customHeight="1" spans="1:9">
      <c r="A1576" s="3" t="str">
        <f t="shared" si="156"/>
        <v>0106</v>
      </c>
      <c r="B1576" s="3" t="s">
        <v>20</v>
      </c>
      <c r="C1576" s="3" t="str">
        <f>"王忠名"</f>
        <v>王忠名</v>
      </c>
      <c r="D1576" s="3" t="str">
        <f>"男"</f>
        <v>男</v>
      </c>
      <c r="E1576" s="3" t="str">
        <f>"2507015424"</f>
        <v>2507015424</v>
      </c>
      <c r="F1576" s="3" t="str">
        <f t="shared" si="155"/>
        <v>54</v>
      </c>
      <c r="G1576" s="4" t="str">
        <f>"24"</f>
        <v>24</v>
      </c>
      <c r="H1576" s="5">
        <v>81.2</v>
      </c>
      <c r="I1576" s="3"/>
    </row>
    <row r="1577" customHeight="1" spans="1:9">
      <c r="A1577" s="3" t="str">
        <f t="shared" si="156"/>
        <v>0106</v>
      </c>
      <c r="B1577" s="3" t="s">
        <v>20</v>
      </c>
      <c r="C1577" s="3" t="str">
        <f>"许振"</f>
        <v>许振</v>
      </c>
      <c r="D1577" s="3" t="str">
        <f>"男"</f>
        <v>男</v>
      </c>
      <c r="E1577" s="3" t="str">
        <f>"2507015425"</f>
        <v>2507015425</v>
      </c>
      <c r="F1577" s="3" t="str">
        <f t="shared" si="155"/>
        <v>54</v>
      </c>
      <c r="G1577" s="4" t="str">
        <f>"25"</f>
        <v>25</v>
      </c>
      <c r="H1577" s="5">
        <v>0</v>
      </c>
      <c r="I1577" s="3" t="s">
        <v>11</v>
      </c>
    </row>
    <row r="1578" customHeight="1" spans="1:9">
      <c r="A1578" s="3" t="str">
        <f t="shared" si="156"/>
        <v>0106</v>
      </c>
      <c r="B1578" s="3" t="s">
        <v>20</v>
      </c>
      <c r="C1578" s="3" t="str">
        <f>"林炳辉"</f>
        <v>林炳辉</v>
      </c>
      <c r="D1578" s="3" t="str">
        <f>"男"</f>
        <v>男</v>
      </c>
      <c r="E1578" s="3" t="str">
        <f>"2507015426"</f>
        <v>2507015426</v>
      </c>
      <c r="F1578" s="3" t="str">
        <f t="shared" si="155"/>
        <v>54</v>
      </c>
      <c r="G1578" s="4" t="str">
        <f>"26"</f>
        <v>26</v>
      </c>
      <c r="H1578" s="5">
        <v>74.9</v>
      </c>
      <c r="I1578" s="3"/>
    </row>
    <row r="1579" customHeight="1" spans="1:9">
      <c r="A1579" s="3" t="str">
        <f t="shared" si="156"/>
        <v>0106</v>
      </c>
      <c r="B1579" s="3" t="s">
        <v>20</v>
      </c>
      <c r="C1579" s="3" t="str">
        <f>"张夫乐"</f>
        <v>张夫乐</v>
      </c>
      <c r="D1579" s="3" t="str">
        <f>"女"</f>
        <v>女</v>
      </c>
      <c r="E1579" s="3" t="str">
        <f>"2507015427"</f>
        <v>2507015427</v>
      </c>
      <c r="F1579" s="3" t="str">
        <f t="shared" si="155"/>
        <v>54</v>
      </c>
      <c r="G1579" s="4" t="str">
        <f>"27"</f>
        <v>27</v>
      </c>
      <c r="H1579" s="5">
        <v>72.6</v>
      </c>
      <c r="I1579" s="3"/>
    </row>
    <row r="1580" customHeight="1" spans="1:9">
      <c r="A1580" s="3" t="str">
        <f t="shared" si="156"/>
        <v>0106</v>
      </c>
      <c r="B1580" s="3" t="s">
        <v>20</v>
      </c>
      <c r="C1580" s="3" t="str">
        <f>"步坤亿"</f>
        <v>步坤亿</v>
      </c>
      <c r="D1580" s="3" t="str">
        <f>"男"</f>
        <v>男</v>
      </c>
      <c r="E1580" s="3" t="str">
        <f>"2507015428"</f>
        <v>2507015428</v>
      </c>
      <c r="F1580" s="3" t="str">
        <f t="shared" si="155"/>
        <v>54</v>
      </c>
      <c r="G1580" s="4" t="str">
        <f>"28"</f>
        <v>28</v>
      </c>
      <c r="H1580" s="5">
        <v>66.3</v>
      </c>
      <c r="I1580" s="3"/>
    </row>
    <row r="1581" customHeight="1" spans="1:9">
      <c r="A1581" s="3" t="str">
        <f t="shared" si="156"/>
        <v>0106</v>
      </c>
      <c r="B1581" s="3" t="s">
        <v>20</v>
      </c>
      <c r="C1581" s="3" t="str">
        <f>"岳轩旭"</f>
        <v>岳轩旭</v>
      </c>
      <c r="D1581" s="3" t="str">
        <f>"男"</f>
        <v>男</v>
      </c>
      <c r="E1581" s="3" t="str">
        <f>"2507015429"</f>
        <v>2507015429</v>
      </c>
      <c r="F1581" s="3" t="str">
        <f t="shared" si="155"/>
        <v>54</v>
      </c>
      <c r="G1581" s="4" t="str">
        <f>"29"</f>
        <v>29</v>
      </c>
      <c r="H1581" s="5">
        <v>74.3</v>
      </c>
      <c r="I1581" s="3"/>
    </row>
    <row r="1582" customHeight="1" spans="1:9">
      <c r="A1582" s="3" t="str">
        <f t="shared" si="156"/>
        <v>0106</v>
      </c>
      <c r="B1582" s="3" t="s">
        <v>20</v>
      </c>
      <c r="C1582" s="3" t="str">
        <f>"王梦娇"</f>
        <v>王梦娇</v>
      </c>
      <c r="D1582" s="3" t="str">
        <f>"女"</f>
        <v>女</v>
      </c>
      <c r="E1582" s="3" t="str">
        <f>"2507015430"</f>
        <v>2507015430</v>
      </c>
      <c r="F1582" s="3" t="str">
        <f t="shared" si="155"/>
        <v>54</v>
      </c>
      <c r="G1582" s="4" t="str">
        <f>"30"</f>
        <v>30</v>
      </c>
      <c r="H1582" s="5">
        <v>58.4</v>
      </c>
      <c r="I1582" s="3"/>
    </row>
    <row r="1583" customHeight="1" spans="1:9">
      <c r="A1583" s="3" t="str">
        <f t="shared" si="156"/>
        <v>0106</v>
      </c>
      <c r="B1583" s="3" t="s">
        <v>20</v>
      </c>
      <c r="C1583" s="3" t="str">
        <f>"伏子诺"</f>
        <v>伏子诺</v>
      </c>
      <c r="D1583" s="3" t="str">
        <f>"女"</f>
        <v>女</v>
      </c>
      <c r="E1583" s="3" t="str">
        <f>"2507015431"</f>
        <v>2507015431</v>
      </c>
      <c r="F1583" s="3" t="str">
        <f t="shared" si="155"/>
        <v>54</v>
      </c>
      <c r="G1583" s="4" t="str">
        <f>"31"</f>
        <v>31</v>
      </c>
      <c r="H1583" s="5">
        <v>69.5</v>
      </c>
      <c r="I1583" s="3"/>
    </row>
    <row r="1584" customHeight="1" spans="1:9">
      <c r="A1584" s="3" t="str">
        <f t="shared" si="156"/>
        <v>0106</v>
      </c>
      <c r="B1584" s="3" t="s">
        <v>20</v>
      </c>
      <c r="C1584" s="3" t="str">
        <f>"段敏豪"</f>
        <v>段敏豪</v>
      </c>
      <c r="D1584" s="3" t="str">
        <f>"男"</f>
        <v>男</v>
      </c>
      <c r="E1584" s="3" t="str">
        <f>"2507015501"</f>
        <v>2507015501</v>
      </c>
      <c r="F1584" s="3" t="str">
        <f t="shared" ref="F1584:F1614" si="157">"55"</f>
        <v>55</v>
      </c>
      <c r="G1584" s="4" t="str">
        <f>"01"</f>
        <v>01</v>
      </c>
      <c r="H1584" s="5">
        <v>72.7</v>
      </c>
      <c r="I1584" s="3"/>
    </row>
    <row r="1585" customHeight="1" spans="1:9">
      <c r="A1585" s="3" t="str">
        <f t="shared" si="156"/>
        <v>0106</v>
      </c>
      <c r="B1585" s="3" t="s">
        <v>20</v>
      </c>
      <c r="C1585" s="3" t="str">
        <f>"徐诣航"</f>
        <v>徐诣航</v>
      </c>
      <c r="D1585" s="3" t="str">
        <f>"男"</f>
        <v>男</v>
      </c>
      <c r="E1585" s="3" t="str">
        <f>"2507015502"</f>
        <v>2507015502</v>
      </c>
      <c r="F1585" s="3" t="str">
        <f t="shared" si="157"/>
        <v>55</v>
      </c>
      <c r="G1585" s="4" t="str">
        <f>"02"</f>
        <v>02</v>
      </c>
      <c r="H1585" s="5">
        <v>54.9</v>
      </c>
      <c r="I1585" s="3"/>
    </row>
    <row r="1586" customHeight="1" spans="1:9">
      <c r="A1586" s="3" t="str">
        <f t="shared" si="156"/>
        <v>0106</v>
      </c>
      <c r="B1586" s="3" t="s">
        <v>20</v>
      </c>
      <c r="C1586" s="3" t="str">
        <f>"冯子豪"</f>
        <v>冯子豪</v>
      </c>
      <c r="D1586" s="3" t="str">
        <f>"男"</f>
        <v>男</v>
      </c>
      <c r="E1586" s="3" t="str">
        <f>"2507015503"</f>
        <v>2507015503</v>
      </c>
      <c r="F1586" s="3" t="str">
        <f t="shared" si="157"/>
        <v>55</v>
      </c>
      <c r="G1586" s="4" t="str">
        <f>"03"</f>
        <v>03</v>
      </c>
      <c r="H1586" s="5">
        <v>70.2</v>
      </c>
      <c r="I1586" s="3"/>
    </row>
    <row r="1587" customHeight="1" spans="1:9">
      <c r="A1587" s="3" t="str">
        <f t="shared" si="156"/>
        <v>0106</v>
      </c>
      <c r="B1587" s="3" t="s">
        <v>20</v>
      </c>
      <c r="C1587" s="3" t="str">
        <f>"崔洪波"</f>
        <v>崔洪波</v>
      </c>
      <c r="D1587" s="3" t="str">
        <f>"男"</f>
        <v>男</v>
      </c>
      <c r="E1587" s="3" t="str">
        <f>"2507015504"</f>
        <v>2507015504</v>
      </c>
      <c r="F1587" s="3" t="str">
        <f t="shared" si="157"/>
        <v>55</v>
      </c>
      <c r="G1587" s="4" t="str">
        <f>"04"</f>
        <v>04</v>
      </c>
      <c r="H1587" s="5">
        <v>0</v>
      </c>
      <c r="I1587" s="3" t="s">
        <v>11</v>
      </c>
    </row>
    <row r="1588" customHeight="1" spans="1:9">
      <c r="A1588" s="3" t="str">
        <f t="shared" si="156"/>
        <v>0106</v>
      </c>
      <c r="B1588" s="3" t="s">
        <v>20</v>
      </c>
      <c r="C1588" s="3" t="str">
        <f>"石涛"</f>
        <v>石涛</v>
      </c>
      <c r="D1588" s="3" t="str">
        <f>"男"</f>
        <v>男</v>
      </c>
      <c r="E1588" s="3" t="str">
        <f>"2507015505"</f>
        <v>2507015505</v>
      </c>
      <c r="F1588" s="3" t="str">
        <f t="shared" si="157"/>
        <v>55</v>
      </c>
      <c r="G1588" s="4" t="str">
        <f>"05"</f>
        <v>05</v>
      </c>
      <c r="H1588" s="5">
        <v>75.6</v>
      </c>
      <c r="I1588" s="3"/>
    </row>
    <row r="1589" customHeight="1" spans="1:9">
      <c r="A1589" s="3" t="str">
        <f t="shared" si="156"/>
        <v>0106</v>
      </c>
      <c r="B1589" s="3" t="s">
        <v>20</v>
      </c>
      <c r="C1589" s="3" t="str">
        <f>"肖倩"</f>
        <v>肖倩</v>
      </c>
      <c r="D1589" s="3" t="str">
        <f>"女"</f>
        <v>女</v>
      </c>
      <c r="E1589" s="3" t="str">
        <f>"2507015506"</f>
        <v>2507015506</v>
      </c>
      <c r="F1589" s="3" t="str">
        <f t="shared" si="157"/>
        <v>55</v>
      </c>
      <c r="G1589" s="4" t="str">
        <f>"06"</f>
        <v>06</v>
      </c>
      <c r="H1589" s="5">
        <v>0</v>
      </c>
      <c r="I1589" s="3" t="s">
        <v>11</v>
      </c>
    </row>
    <row r="1590" customHeight="1" spans="1:9">
      <c r="A1590" s="3" t="str">
        <f t="shared" si="156"/>
        <v>0106</v>
      </c>
      <c r="B1590" s="3" t="s">
        <v>20</v>
      </c>
      <c r="C1590" s="3" t="str">
        <f>"蒋子腾"</f>
        <v>蒋子腾</v>
      </c>
      <c r="D1590" s="3" t="str">
        <f>"男"</f>
        <v>男</v>
      </c>
      <c r="E1590" s="3" t="str">
        <f>"2507015507"</f>
        <v>2507015507</v>
      </c>
      <c r="F1590" s="3" t="str">
        <f t="shared" si="157"/>
        <v>55</v>
      </c>
      <c r="G1590" s="4" t="str">
        <f>"07"</f>
        <v>07</v>
      </c>
      <c r="H1590" s="5">
        <v>60.9</v>
      </c>
      <c r="I1590" s="3"/>
    </row>
    <row r="1591" customHeight="1" spans="1:9">
      <c r="A1591" s="3" t="str">
        <f t="shared" si="156"/>
        <v>0106</v>
      </c>
      <c r="B1591" s="3" t="s">
        <v>20</v>
      </c>
      <c r="C1591" s="3" t="str">
        <f>"滕馨仪"</f>
        <v>滕馨仪</v>
      </c>
      <c r="D1591" s="3" t="str">
        <f>"女"</f>
        <v>女</v>
      </c>
      <c r="E1591" s="3" t="str">
        <f>"2507015508"</f>
        <v>2507015508</v>
      </c>
      <c r="F1591" s="3" t="str">
        <f t="shared" si="157"/>
        <v>55</v>
      </c>
      <c r="G1591" s="4" t="str">
        <f>"08"</f>
        <v>08</v>
      </c>
      <c r="H1591" s="5">
        <v>66.6</v>
      </c>
      <c r="I1591" s="3"/>
    </row>
    <row r="1592" customHeight="1" spans="1:9">
      <c r="A1592" s="3" t="str">
        <f t="shared" si="156"/>
        <v>0106</v>
      </c>
      <c r="B1592" s="3" t="s">
        <v>20</v>
      </c>
      <c r="C1592" s="3" t="str">
        <f>"高辉"</f>
        <v>高辉</v>
      </c>
      <c r="D1592" s="3" t="str">
        <f>"男"</f>
        <v>男</v>
      </c>
      <c r="E1592" s="3" t="str">
        <f>"2507015509"</f>
        <v>2507015509</v>
      </c>
      <c r="F1592" s="3" t="str">
        <f t="shared" si="157"/>
        <v>55</v>
      </c>
      <c r="G1592" s="4" t="str">
        <f>"09"</f>
        <v>09</v>
      </c>
      <c r="H1592" s="5">
        <v>62.5</v>
      </c>
      <c r="I1592" s="3"/>
    </row>
    <row r="1593" customHeight="1" spans="1:9">
      <c r="A1593" s="3" t="str">
        <f t="shared" si="156"/>
        <v>0106</v>
      </c>
      <c r="B1593" s="3" t="s">
        <v>20</v>
      </c>
      <c r="C1593" s="3" t="str">
        <f>"郭振华"</f>
        <v>郭振华</v>
      </c>
      <c r="D1593" s="3" t="str">
        <f>"男"</f>
        <v>男</v>
      </c>
      <c r="E1593" s="3" t="str">
        <f>"2507015510"</f>
        <v>2507015510</v>
      </c>
      <c r="F1593" s="3" t="str">
        <f t="shared" si="157"/>
        <v>55</v>
      </c>
      <c r="G1593" s="4" t="str">
        <f>"10"</f>
        <v>10</v>
      </c>
      <c r="H1593" s="5">
        <v>63.8</v>
      </c>
      <c r="I1593" s="3"/>
    </row>
    <row r="1594" customHeight="1" spans="1:9">
      <c r="A1594" s="3" t="str">
        <f t="shared" si="156"/>
        <v>0106</v>
      </c>
      <c r="B1594" s="3" t="s">
        <v>20</v>
      </c>
      <c r="C1594" s="3" t="str">
        <f>"张宇朦"</f>
        <v>张宇朦</v>
      </c>
      <c r="D1594" s="3" t="str">
        <f>"女"</f>
        <v>女</v>
      </c>
      <c r="E1594" s="3" t="str">
        <f>"2507015511"</f>
        <v>2507015511</v>
      </c>
      <c r="F1594" s="3" t="str">
        <f t="shared" si="157"/>
        <v>55</v>
      </c>
      <c r="G1594" s="4" t="str">
        <f>"11"</f>
        <v>11</v>
      </c>
      <c r="H1594" s="5">
        <v>83.2</v>
      </c>
      <c r="I1594" s="3"/>
    </row>
    <row r="1595" customHeight="1" spans="1:9">
      <c r="A1595" s="3" t="str">
        <f t="shared" si="156"/>
        <v>0106</v>
      </c>
      <c r="B1595" s="3" t="s">
        <v>20</v>
      </c>
      <c r="C1595" s="3" t="str">
        <f>"李科霖"</f>
        <v>李科霖</v>
      </c>
      <c r="D1595" s="3" t="str">
        <f>"男"</f>
        <v>男</v>
      </c>
      <c r="E1595" s="3" t="str">
        <f>"2507015512"</f>
        <v>2507015512</v>
      </c>
      <c r="F1595" s="3" t="str">
        <f t="shared" si="157"/>
        <v>55</v>
      </c>
      <c r="G1595" s="4" t="str">
        <f>"12"</f>
        <v>12</v>
      </c>
      <c r="H1595" s="5">
        <v>0</v>
      </c>
      <c r="I1595" s="3" t="s">
        <v>11</v>
      </c>
    </row>
    <row r="1596" customHeight="1" spans="1:9">
      <c r="A1596" s="3" t="str">
        <f t="shared" si="156"/>
        <v>0106</v>
      </c>
      <c r="B1596" s="3" t="s">
        <v>20</v>
      </c>
      <c r="C1596" s="3" t="str">
        <f>"杨梦凡"</f>
        <v>杨梦凡</v>
      </c>
      <c r="D1596" s="3" t="str">
        <f>"女"</f>
        <v>女</v>
      </c>
      <c r="E1596" s="3" t="str">
        <f>"2507015513"</f>
        <v>2507015513</v>
      </c>
      <c r="F1596" s="3" t="str">
        <f t="shared" si="157"/>
        <v>55</v>
      </c>
      <c r="G1596" s="4" t="str">
        <f>"13"</f>
        <v>13</v>
      </c>
      <c r="H1596" s="5">
        <v>75.2</v>
      </c>
      <c r="I1596" s="3"/>
    </row>
    <row r="1597" customHeight="1" spans="1:9">
      <c r="A1597" s="3" t="str">
        <f t="shared" si="156"/>
        <v>0106</v>
      </c>
      <c r="B1597" s="3" t="s">
        <v>20</v>
      </c>
      <c r="C1597" s="3" t="str">
        <f>"孙恒"</f>
        <v>孙恒</v>
      </c>
      <c r="D1597" s="3" t="str">
        <f>"男"</f>
        <v>男</v>
      </c>
      <c r="E1597" s="3" t="str">
        <f>"2507015514"</f>
        <v>2507015514</v>
      </c>
      <c r="F1597" s="3" t="str">
        <f t="shared" si="157"/>
        <v>55</v>
      </c>
      <c r="G1597" s="4" t="str">
        <f>"14"</f>
        <v>14</v>
      </c>
      <c r="H1597" s="5">
        <v>75.7</v>
      </c>
      <c r="I1597" s="3"/>
    </row>
    <row r="1598" customHeight="1" spans="1:9">
      <c r="A1598" s="3" t="str">
        <f t="shared" si="156"/>
        <v>0106</v>
      </c>
      <c r="B1598" s="3" t="s">
        <v>20</v>
      </c>
      <c r="C1598" s="3" t="str">
        <f>"韩隆吉"</f>
        <v>韩隆吉</v>
      </c>
      <c r="D1598" s="3" t="str">
        <f>"男"</f>
        <v>男</v>
      </c>
      <c r="E1598" s="3" t="str">
        <f>"2507015515"</f>
        <v>2507015515</v>
      </c>
      <c r="F1598" s="3" t="str">
        <f t="shared" si="157"/>
        <v>55</v>
      </c>
      <c r="G1598" s="4" t="str">
        <f>"15"</f>
        <v>15</v>
      </c>
      <c r="H1598" s="5">
        <v>70.1</v>
      </c>
      <c r="I1598" s="3"/>
    </row>
    <row r="1599" customHeight="1" spans="1:9">
      <c r="A1599" s="3" t="str">
        <f t="shared" si="156"/>
        <v>0106</v>
      </c>
      <c r="B1599" s="3" t="s">
        <v>20</v>
      </c>
      <c r="C1599" s="3" t="str">
        <f>"魏万哲"</f>
        <v>魏万哲</v>
      </c>
      <c r="D1599" s="3" t="str">
        <f>"男"</f>
        <v>男</v>
      </c>
      <c r="E1599" s="3" t="str">
        <f>"2507015516"</f>
        <v>2507015516</v>
      </c>
      <c r="F1599" s="3" t="str">
        <f t="shared" si="157"/>
        <v>55</v>
      </c>
      <c r="G1599" s="4" t="str">
        <f>"16"</f>
        <v>16</v>
      </c>
      <c r="H1599" s="5">
        <v>79.9</v>
      </c>
      <c r="I1599" s="3"/>
    </row>
    <row r="1600" customHeight="1" spans="1:9">
      <c r="A1600" s="3" t="str">
        <f t="shared" si="156"/>
        <v>0106</v>
      </c>
      <c r="B1600" s="3" t="s">
        <v>20</v>
      </c>
      <c r="C1600" s="3" t="str">
        <f>"杨帆"</f>
        <v>杨帆</v>
      </c>
      <c r="D1600" s="3" t="str">
        <f>"女"</f>
        <v>女</v>
      </c>
      <c r="E1600" s="3" t="str">
        <f>"2507015517"</f>
        <v>2507015517</v>
      </c>
      <c r="F1600" s="3" t="str">
        <f t="shared" si="157"/>
        <v>55</v>
      </c>
      <c r="G1600" s="4" t="str">
        <f>"17"</f>
        <v>17</v>
      </c>
      <c r="H1600" s="5">
        <v>56.4</v>
      </c>
      <c r="I1600" s="3"/>
    </row>
    <row r="1601" customHeight="1" spans="1:9">
      <c r="A1601" s="3" t="str">
        <f t="shared" si="156"/>
        <v>0106</v>
      </c>
      <c r="B1601" s="3" t="s">
        <v>20</v>
      </c>
      <c r="C1601" s="3" t="str">
        <f>"庄家文"</f>
        <v>庄家文</v>
      </c>
      <c r="D1601" s="3" t="str">
        <f>"男"</f>
        <v>男</v>
      </c>
      <c r="E1601" s="3" t="str">
        <f>"2507015518"</f>
        <v>2507015518</v>
      </c>
      <c r="F1601" s="3" t="str">
        <f t="shared" si="157"/>
        <v>55</v>
      </c>
      <c r="G1601" s="4" t="str">
        <f>"18"</f>
        <v>18</v>
      </c>
      <c r="H1601" s="5">
        <v>69.9</v>
      </c>
      <c r="I1601" s="3"/>
    </row>
    <row r="1602" customHeight="1" spans="1:9">
      <c r="A1602" s="3" t="str">
        <f t="shared" si="156"/>
        <v>0106</v>
      </c>
      <c r="B1602" s="3" t="s">
        <v>20</v>
      </c>
      <c r="C1602" s="3" t="str">
        <f>"陈加琳"</f>
        <v>陈加琳</v>
      </c>
      <c r="D1602" s="3" t="str">
        <f>"女"</f>
        <v>女</v>
      </c>
      <c r="E1602" s="3" t="str">
        <f>"2507015519"</f>
        <v>2507015519</v>
      </c>
      <c r="F1602" s="3" t="str">
        <f t="shared" si="157"/>
        <v>55</v>
      </c>
      <c r="G1602" s="4" t="str">
        <f>"19"</f>
        <v>19</v>
      </c>
      <c r="H1602" s="5">
        <v>64.1</v>
      </c>
      <c r="I1602" s="3"/>
    </row>
    <row r="1603" customHeight="1" spans="1:9">
      <c r="A1603" s="3" t="str">
        <f t="shared" si="156"/>
        <v>0106</v>
      </c>
      <c r="B1603" s="3" t="s">
        <v>20</v>
      </c>
      <c r="C1603" s="3" t="str">
        <f>"孙天文"</f>
        <v>孙天文</v>
      </c>
      <c r="D1603" s="3" t="str">
        <f>"男"</f>
        <v>男</v>
      </c>
      <c r="E1603" s="3" t="str">
        <f>"2507015520"</f>
        <v>2507015520</v>
      </c>
      <c r="F1603" s="3" t="str">
        <f t="shared" si="157"/>
        <v>55</v>
      </c>
      <c r="G1603" s="4" t="str">
        <f>"20"</f>
        <v>20</v>
      </c>
      <c r="H1603" s="5">
        <v>59.6</v>
      </c>
      <c r="I1603" s="3"/>
    </row>
    <row r="1604" customHeight="1" spans="1:9">
      <c r="A1604" s="3" t="str">
        <f t="shared" si="156"/>
        <v>0106</v>
      </c>
      <c r="B1604" s="3" t="s">
        <v>20</v>
      </c>
      <c r="C1604" s="3" t="str">
        <f>"胡进宝"</f>
        <v>胡进宝</v>
      </c>
      <c r="D1604" s="3" t="str">
        <f>"男"</f>
        <v>男</v>
      </c>
      <c r="E1604" s="3" t="str">
        <f>"2507015521"</f>
        <v>2507015521</v>
      </c>
      <c r="F1604" s="3" t="str">
        <f t="shared" si="157"/>
        <v>55</v>
      </c>
      <c r="G1604" s="4" t="str">
        <f>"21"</f>
        <v>21</v>
      </c>
      <c r="H1604" s="5">
        <v>0</v>
      </c>
      <c r="I1604" s="3" t="s">
        <v>11</v>
      </c>
    </row>
    <row r="1605" customHeight="1" spans="1:9">
      <c r="A1605" s="3" t="str">
        <f t="shared" si="156"/>
        <v>0106</v>
      </c>
      <c r="B1605" s="3" t="s">
        <v>20</v>
      </c>
      <c r="C1605" s="3" t="str">
        <f>"王远齐"</f>
        <v>王远齐</v>
      </c>
      <c r="D1605" s="3" t="str">
        <f>"男"</f>
        <v>男</v>
      </c>
      <c r="E1605" s="3" t="str">
        <f>"2507015522"</f>
        <v>2507015522</v>
      </c>
      <c r="F1605" s="3" t="str">
        <f t="shared" si="157"/>
        <v>55</v>
      </c>
      <c r="G1605" s="4" t="str">
        <f>"22"</f>
        <v>22</v>
      </c>
      <c r="H1605" s="5">
        <v>0</v>
      </c>
      <c r="I1605" s="3" t="s">
        <v>11</v>
      </c>
    </row>
    <row r="1606" customHeight="1" spans="1:9">
      <c r="A1606" s="3" t="str">
        <f t="shared" si="156"/>
        <v>0106</v>
      </c>
      <c r="B1606" s="3" t="s">
        <v>20</v>
      </c>
      <c r="C1606" s="3" t="str">
        <f>"胡楷文"</f>
        <v>胡楷文</v>
      </c>
      <c r="D1606" s="3" t="str">
        <f>"男"</f>
        <v>男</v>
      </c>
      <c r="E1606" s="3" t="str">
        <f>"2507015523"</f>
        <v>2507015523</v>
      </c>
      <c r="F1606" s="3" t="str">
        <f t="shared" si="157"/>
        <v>55</v>
      </c>
      <c r="G1606" s="4" t="str">
        <f>"23"</f>
        <v>23</v>
      </c>
      <c r="H1606" s="5">
        <v>67.6</v>
      </c>
      <c r="I1606" s="3"/>
    </row>
    <row r="1607" customHeight="1" spans="1:9">
      <c r="A1607" s="3" t="str">
        <f t="shared" si="156"/>
        <v>0106</v>
      </c>
      <c r="B1607" s="3" t="s">
        <v>20</v>
      </c>
      <c r="C1607" s="3" t="str">
        <f>"路金科"</f>
        <v>路金科</v>
      </c>
      <c r="D1607" s="3" t="str">
        <f>"男"</f>
        <v>男</v>
      </c>
      <c r="E1607" s="3" t="str">
        <f>"2507015524"</f>
        <v>2507015524</v>
      </c>
      <c r="F1607" s="3" t="str">
        <f t="shared" si="157"/>
        <v>55</v>
      </c>
      <c r="G1607" s="4" t="str">
        <f>"24"</f>
        <v>24</v>
      </c>
      <c r="H1607" s="5">
        <v>62.9</v>
      </c>
      <c r="I1607" s="3"/>
    </row>
    <row r="1608" customHeight="1" spans="1:9">
      <c r="A1608" s="3" t="str">
        <f t="shared" si="156"/>
        <v>0106</v>
      </c>
      <c r="B1608" s="3" t="s">
        <v>20</v>
      </c>
      <c r="C1608" s="3" t="str">
        <f>"刘超华"</f>
        <v>刘超华</v>
      </c>
      <c r="D1608" s="3" t="str">
        <f>"女"</f>
        <v>女</v>
      </c>
      <c r="E1608" s="3" t="str">
        <f>"2507015525"</f>
        <v>2507015525</v>
      </c>
      <c r="F1608" s="3" t="str">
        <f t="shared" si="157"/>
        <v>55</v>
      </c>
      <c r="G1608" s="4" t="str">
        <f>"25"</f>
        <v>25</v>
      </c>
      <c r="H1608" s="5">
        <v>0</v>
      </c>
      <c r="I1608" s="3" t="s">
        <v>11</v>
      </c>
    </row>
    <row r="1609" customHeight="1" spans="1:9">
      <c r="A1609" s="3" t="str">
        <f t="shared" si="156"/>
        <v>0106</v>
      </c>
      <c r="B1609" s="3" t="s">
        <v>20</v>
      </c>
      <c r="C1609" s="3" t="str">
        <f>"朱昊"</f>
        <v>朱昊</v>
      </c>
      <c r="D1609" s="3" t="str">
        <f>"男"</f>
        <v>男</v>
      </c>
      <c r="E1609" s="3" t="str">
        <f>"2507015526"</f>
        <v>2507015526</v>
      </c>
      <c r="F1609" s="3" t="str">
        <f t="shared" si="157"/>
        <v>55</v>
      </c>
      <c r="G1609" s="4" t="str">
        <f>"26"</f>
        <v>26</v>
      </c>
      <c r="H1609" s="5">
        <v>0</v>
      </c>
      <c r="I1609" s="3" t="s">
        <v>11</v>
      </c>
    </row>
    <row r="1610" customHeight="1" spans="1:9">
      <c r="A1610" s="3" t="str">
        <f t="shared" si="156"/>
        <v>0106</v>
      </c>
      <c r="B1610" s="3" t="s">
        <v>20</v>
      </c>
      <c r="C1610" s="3" t="str">
        <f>"厉洪帅"</f>
        <v>厉洪帅</v>
      </c>
      <c r="D1610" s="3" t="str">
        <f>"男"</f>
        <v>男</v>
      </c>
      <c r="E1610" s="3" t="str">
        <f>"2507015527"</f>
        <v>2507015527</v>
      </c>
      <c r="F1610" s="3" t="str">
        <f t="shared" si="157"/>
        <v>55</v>
      </c>
      <c r="G1610" s="4" t="str">
        <f>"27"</f>
        <v>27</v>
      </c>
      <c r="H1610" s="5">
        <v>67.9</v>
      </c>
      <c r="I1610" s="3"/>
    </row>
    <row r="1611" customHeight="1" spans="1:9">
      <c r="A1611" s="3" t="str">
        <f t="shared" si="156"/>
        <v>0106</v>
      </c>
      <c r="B1611" s="3" t="s">
        <v>20</v>
      </c>
      <c r="C1611" s="3" t="str">
        <f>"吴玉香"</f>
        <v>吴玉香</v>
      </c>
      <c r="D1611" s="3" t="str">
        <f>"女"</f>
        <v>女</v>
      </c>
      <c r="E1611" s="3" t="str">
        <f>"2507015528"</f>
        <v>2507015528</v>
      </c>
      <c r="F1611" s="3" t="str">
        <f t="shared" si="157"/>
        <v>55</v>
      </c>
      <c r="G1611" s="4" t="str">
        <f>"28"</f>
        <v>28</v>
      </c>
      <c r="H1611" s="5">
        <v>71.9</v>
      </c>
      <c r="I1611" s="3"/>
    </row>
    <row r="1612" customHeight="1" spans="1:9">
      <c r="A1612" s="3" t="str">
        <f t="shared" si="156"/>
        <v>0106</v>
      </c>
      <c r="B1612" s="3" t="s">
        <v>20</v>
      </c>
      <c r="C1612" s="3" t="str">
        <f>"张冉"</f>
        <v>张冉</v>
      </c>
      <c r="D1612" s="3" t="str">
        <f t="shared" ref="D1612:D1618" si="158">"男"</f>
        <v>男</v>
      </c>
      <c r="E1612" s="3" t="str">
        <f>"2507015529"</f>
        <v>2507015529</v>
      </c>
      <c r="F1612" s="3" t="str">
        <f t="shared" si="157"/>
        <v>55</v>
      </c>
      <c r="G1612" s="4" t="str">
        <f>"29"</f>
        <v>29</v>
      </c>
      <c r="H1612" s="5">
        <v>65.3</v>
      </c>
      <c r="I1612" s="3"/>
    </row>
    <row r="1613" customHeight="1" spans="1:9">
      <c r="A1613" s="3" t="str">
        <f t="shared" si="156"/>
        <v>0106</v>
      </c>
      <c r="B1613" s="3" t="s">
        <v>20</v>
      </c>
      <c r="C1613" s="3" t="str">
        <f>"陈启蒙"</f>
        <v>陈启蒙</v>
      </c>
      <c r="D1613" s="3" t="str">
        <f t="shared" si="158"/>
        <v>男</v>
      </c>
      <c r="E1613" s="3" t="str">
        <f>"2507015530"</f>
        <v>2507015530</v>
      </c>
      <c r="F1613" s="3" t="str">
        <f t="shared" si="157"/>
        <v>55</v>
      </c>
      <c r="G1613" s="4" t="str">
        <f>"30"</f>
        <v>30</v>
      </c>
      <c r="H1613" s="5">
        <v>0</v>
      </c>
      <c r="I1613" s="3" t="s">
        <v>11</v>
      </c>
    </row>
    <row r="1614" customHeight="1" spans="1:9">
      <c r="A1614" s="3" t="str">
        <f t="shared" si="156"/>
        <v>0106</v>
      </c>
      <c r="B1614" s="3" t="s">
        <v>20</v>
      </c>
      <c r="C1614" s="3" t="str">
        <f>"蒋易洋"</f>
        <v>蒋易洋</v>
      </c>
      <c r="D1614" s="3" t="str">
        <f t="shared" si="158"/>
        <v>男</v>
      </c>
      <c r="E1614" s="3" t="str">
        <f>"2507015531"</f>
        <v>2507015531</v>
      </c>
      <c r="F1614" s="3" t="str">
        <f t="shared" si="157"/>
        <v>55</v>
      </c>
      <c r="G1614" s="4" t="str">
        <f>"31"</f>
        <v>31</v>
      </c>
      <c r="H1614" s="5">
        <v>0</v>
      </c>
      <c r="I1614" s="3" t="s">
        <v>11</v>
      </c>
    </row>
    <row r="1615" customHeight="1" spans="1:9">
      <c r="A1615" s="3" t="str">
        <f t="shared" si="156"/>
        <v>0106</v>
      </c>
      <c r="B1615" s="3" t="s">
        <v>20</v>
      </c>
      <c r="C1615" s="3" t="str">
        <f>"张帅"</f>
        <v>张帅</v>
      </c>
      <c r="D1615" s="3" t="str">
        <f t="shared" si="158"/>
        <v>男</v>
      </c>
      <c r="E1615" s="3" t="str">
        <f>"2507015601"</f>
        <v>2507015601</v>
      </c>
      <c r="F1615" s="3" t="str">
        <f t="shared" ref="F1615:F1645" si="159">"56"</f>
        <v>56</v>
      </c>
      <c r="G1615" s="4" t="str">
        <f>"01"</f>
        <v>01</v>
      </c>
      <c r="H1615" s="5">
        <v>0</v>
      </c>
      <c r="I1615" s="3" t="s">
        <v>11</v>
      </c>
    </row>
    <row r="1616" customHeight="1" spans="1:9">
      <c r="A1616" s="3" t="str">
        <f t="shared" si="156"/>
        <v>0106</v>
      </c>
      <c r="B1616" s="3" t="s">
        <v>20</v>
      </c>
      <c r="C1616" s="3" t="str">
        <f>"孙国航"</f>
        <v>孙国航</v>
      </c>
      <c r="D1616" s="3" t="str">
        <f t="shared" si="158"/>
        <v>男</v>
      </c>
      <c r="E1616" s="3" t="str">
        <f>"2507015602"</f>
        <v>2507015602</v>
      </c>
      <c r="F1616" s="3" t="str">
        <f t="shared" si="159"/>
        <v>56</v>
      </c>
      <c r="G1616" s="4" t="str">
        <f>"02"</f>
        <v>02</v>
      </c>
      <c r="H1616" s="5">
        <v>0</v>
      </c>
      <c r="I1616" s="3" t="s">
        <v>11</v>
      </c>
    </row>
    <row r="1617" customHeight="1" spans="1:9">
      <c r="A1617" s="3" t="str">
        <f t="shared" si="156"/>
        <v>0106</v>
      </c>
      <c r="B1617" s="3" t="s">
        <v>20</v>
      </c>
      <c r="C1617" s="3" t="str">
        <f>"桑翌博"</f>
        <v>桑翌博</v>
      </c>
      <c r="D1617" s="3" t="str">
        <f t="shared" si="158"/>
        <v>男</v>
      </c>
      <c r="E1617" s="3" t="str">
        <f>"2507015603"</f>
        <v>2507015603</v>
      </c>
      <c r="F1617" s="3" t="str">
        <f t="shared" si="159"/>
        <v>56</v>
      </c>
      <c r="G1617" s="4" t="str">
        <f>"03"</f>
        <v>03</v>
      </c>
      <c r="H1617" s="5">
        <v>82.2</v>
      </c>
      <c r="I1617" s="3"/>
    </row>
    <row r="1618" customHeight="1" spans="1:9">
      <c r="A1618" s="3" t="str">
        <f t="shared" si="156"/>
        <v>0106</v>
      </c>
      <c r="B1618" s="3" t="s">
        <v>20</v>
      </c>
      <c r="C1618" s="3" t="str">
        <f>"许满满"</f>
        <v>许满满</v>
      </c>
      <c r="D1618" s="3" t="str">
        <f t="shared" si="158"/>
        <v>男</v>
      </c>
      <c r="E1618" s="3" t="str">
        <f>"2507015604"</f>
        <v>2507015604</v>
      </c>
      <c r="F1618" s="3" t="str">
        <f t="shared" si="159"/>
        <v>56</v>
      </c>
      <c r="G1618" s="4" t="str">
        <f>"04"</f>
        <v>04</v>
      </c>
      <c r="H1618" s="5">
        <v>75.5</v>
      </c>
      <c r="I1618" s="3"/>
    </row>
    <row r="1619" customHeight="1" spans="1:9">
      <c r="A1619" s="3" t="str">
        <f t="shared" si="156"/>
        <v>0106</v>
      </c>
      <c r="B1619" s="3" t="s">
        <v>20</v>
      </c>
      <c r="C1619" s="3" t="str">
        <f>"靳苗苗"</f>
        <v>靳苗苗</v>
      </c>
      <c r="D1619" s="3" t="str">
        <f>"女"</f>
        <v>女</v>
      </c>
      <c r="E1619" s="3" t="str">
        <f>"2507015605"</f>
        <v>2507015605</v>
      </c>
      <c r="F1619" s="3" t="str">
        <f t="shared" si="159"/>
        <v>56</v>
      </c>
      <c r="G1619" s="4" t="str">
        <f>"05"</f>
        <v>05</v>
      </c>
      <c r="H1619" s="5">
        <v>64.8</v>
      </c>
      <c r="I1619" s="3"/>
    </row>
    <row r="1620" customHeight="1" spans="1:9">
      <c r="A1620" s="3" t="str">
        <f t="shared" si="156"/>
        <v>0106</v>
      </c>
      <c r="B1620" s="3" t="s">
        <v>20</v>
      </c>
      <c r="C1620" s="3" t="str">
        <f>"吕珍港"</f>
        <v>吕珍港</v>
      </c>
      <c r="D1620" s="3" t="str">
        <f>"男"</f>
        <v>男</v>
      </c>
      <c r="E1620" s="3" t="str">
        <f>"2507015606"</f>
        <v>2507015606</v>
      </c>
      <c r="F1620" s="3" t="str">
        <f t="shared" si="159"/>
        <v>56</v>
      </c>
      <c r="G1620" s="4" t="str">
        <f>"06"</f>
        <v>06</v>
      </c>
      <c r="H1620" s="5">
        <v>59.6</v>
      </c>
      <c r="I1620" s="3"/>
    </row>
    <row r="1621" customHeight="1" spans="1:9">
      <c r="A1621" s="3" t="str">
        <f t="shared" si="156"/>
        <v>0106</v>
      </c>
      <c r="B1621" s="3" t="s">
        <v>20</v>
      </c>
      <c r="C1621" s="3" t="str">
        <f>"肖婉"</f>
        <v>肖婉</v>
      </c>
      <c r="D1621" s="3" t="str">
        <f>"女"</f>
        <v>女</v>
      </c>
      <c r="E1621" s="3" t="str">
        <f>"2507015607"</f>
        <v>2507015607</v>
      </c>
      <c r="F1621" s="3" t="str">
        <f t="shared" si="159"/>
        <v>56</v>
      </c>
      <c r="G1621" s="4" t="str">
        <f>"07"</f>
        <v>07</v>
      </c>
      <c r="H1621" s="5">
        <v>56.4</v>
      </c>
      <c r="I1621" s="3"/>
    </row>
    <row r="1622" customHeight="1" spans="1:9">
      <c r="A1622" s="3" t="str">
        <f t="shared" si="156"/>
        <v>0106</v>
      </c>
      <c r="B1622" s="3" t="s">
        <v>20</v>
      </c>
      <c r="C1622" s="3" t="str">
        <f>"韩金钢"</f>
        <v>韩金钢</v>
      </c>
      <c r="D1622" s="3" t="str">
        <f t="shared" ref="D1622:D1628" si="160">"男"</f>
        <v>男</v>
      </c>
      <c r="E1622" s="3" t="str">
        <f>"2507015608"</f>
        <v>2507015608</v>
      </c>
      <c r="F1622" s="3" t="str">
        <f t="shared" si="159"/>
        <v>56</v>
      </c>
      <c r="G1622" s="4" t="str">
        <f>"08"</f>
        <v>08</v>
      </c>
      <c r="H1622" s="5">
        <v>0</v>
      </c>
      <c r="I1622" s="3" t="s">
        <v>11</v>
      </c>
    </row>
    <row r="1623" customHeight="1" spans="1:9">
      <c r="A1623" s="3" t="str">
        <f t="shared" ref="A1623:A1686" si="161">"0106"</f>
        <v>0106</v>
      </c>
      <c r="B1623" s="3" t="s">
        <v>20</v>
      </c>
      <c r="C1623" s="3" t="str">
        <f>"宋潇"</f>
        <v>宋潇</v>
      </c>
      <c r="D1623" s="3" t="str">
        <f t="shared" si="160"/>
        <v>男</v>
      </c>
      <c r="E1623" s="3" t="str">
        <f>"2507015609"</f>
        <v>2507015609</v>
      </c>
      <c r="F1623" s="3" t="str">
        <f t="shared" si="159"/>
        <v>56</v>
      </c>
      <c r="G1623" s="4" t="str">
        <f>"09"</f>
        <v>09</v>
      </c>
      <c r="H1623" s="5">
        <v>0</v>
      </c>
      <c r="I1623" s="3" t="s">
        <v>11</v>
      </c>
    </row>
    <row r="1624" customHeight="1" spans="1:9">
      <c r="A1624" s="3" t="str">
        <f t="shared" si="161"/>
        <v>0106</v>
      </c>
      <c r="B1624" s="3" t="s">
        <v>20</v>
      </c>
      <c r="C1624" s="3" t="str">
        <f>"郑振"</f>
        <v>郑振</v>
      </c>
      <c r="D1624" s="3" t="str">
        <f t="shared" si="160"/>
        <v>男</v>
      </c>
      <c r="E1624" s="3" t="str">
        <f>"2507015610"</f>
        <v>2507015610</v>
      </c>
      <c r="F1624" s="3" t="str">
        <f t="shared" si="159"/>
        <v>56</v>
      </c>
      <c r="G1624" s="4" t="str">
        <f>"10"</f>
        <v>10</v>
      </c>
      <c r="H1624" s="5">
        <v>69.4</v>
      </c>
      <c r="I1624" s="3"/>
    </row>
    <row r="1625" customHeight="1" spans="1:9">
      <c r="A1625" s="3" t="str">
        <f t="shared" si="161"/>
        <v>0106</v>
      </c>
      <c r="B1625" s="3" t="s">
        <v>20</v>
      </c>
      <c r="C1625" s="3" t="str">
        <f>"袁鑫明"</f>
        <v>袁鑫明</v>
      </c>
      <c r="D1625" s="3" t="str">
        <f t="shared" si="160"/>
        <v>男</v>
      </c>
      <c r="E1625" s="3" t="str">
        <f>"2507015611"</f>
        <v>2507015611</v>
      </c>
      <c r="F1625" s="3" t="str">
        <f t="shared" si="159"/>
        <v>56</v>
      </c>
      <c r="G1625" s="4" t="str">
        <f>"11"</f>
        <v>11</v>
      </c>
      <c r="H1625" s="5">
        <v>0</v>
      </c>
      <c r="I1625" s="3" t="s">
        <v>11</v>
      </c>
    </row>
    <row r="1626" customHeight="1" spans="1:9">
      <c r="A1626" s="3" t="str">
        <f t="shared" si="161"/>
        <v>0106</v>
      </c>
      <c r="B1626" s="3" t="s">
        <v>20</v>
      </c>
      <c r="C1626" s="3" t="str">
        <f>"刘硕"</f>
        <v>刘硕</v>
      </c>
      <c r="D1626" s="3" t="str">
        <f t="shared" si="160"/>
        <v>男</v>
      </c>
      <c r="E1626" s="3" t="str">
        <f>"2507015612"</f>
        <v>2507015612</v>
      </c>
      <c r="F1626" s="3" t="str">
        <f t="shared" si="159"/>
        <v>56</v>
      </c>
      <c r="G1626" s="4" t="str">
        <f>"12"</f>
        <v>12</v>
      </c>
      <c r="H1626" s="5">
        <v>0</v>
      </c>
      <c r="I1626" s="3" t="s">
        <v>11</v>
      </c>
    </row>
    <row r="1627" customHeight="1" spans="1:9">
      <c r="A1627" s="3" t="str">
        <f t="shared" si="161"/>
        <v>0106</v>
      </c>
      <c r="B1627" s="3" t="s">
        <v>20</v>
      </c>
      <c r="C1627" s="3" t="str">
        <f>"石忠祥"</f>
        <v>石忠祥</v>
      </c>
      <c r="D1627" s="3" t="str">
        <f t="shared" si="160"/>
        <v>男</v>
      </c>
      <c r="E1627" s="3" t="str">
        <f>"2507015613"</f>
        <v>2507015613</v>
      </c>
      <c r="F1627" s="3" t="str">
        <f t="shared" si="159"/>
        <v>56</v>
      </c>
      <c r="G1627" s="4" t="str">
        <f>"13"</f>
        <v>13</v>
      </c>
      <c r="H1627" s="5">
        <v>0</v>
      </c>
      <c r="I1627" s="3" t="s">
        <v>11</v>
      </c>
    </row>
    <row r="1628" customHeight="1" spans="1:9">
      <c r="A1628" s="3" t="str">
        <f t="shared" si="161"/>
        <v>0106</v>
      </c>
      <c r="B1628" s="3" t="s">
        <v>20</v>
      </c>
      <c r="C1628" s="3" t="str">
        <f>"程斌亮"</f>
        <v>程斌亮</v>
      </c>
      <c r="D1628" s="3" t="str">
        <f t="shared" si="160"/>
        <v>男</v>
      </c>
      <c r="E1628" s="3" t="str">
        <f>"2507015614"</f>
        <v>2507015614</v>
      </c>
      <c r="F1628" s="3" t="str">
        <f t="shared" si="159"/>
        <v>56</v>
      </c>
      <c r="G1628" s="4" t="str">
        <f>"14"</f>
        <v>14</v>
      </c>
      <c r="H1628" s="5">
        <v>69.5</v>
      </c>
      <c r="I1628" s="3"/>
    </row>
    <row r="1629" customHeight="1" spans="1:9">
      <c r="A1629" s="3" t="str">
        <f t="shared" si="161"/>
        <v>0106</v>
      </c>
      <c r="B1629" s="3" t="s">
        <v>20</v>
      </c>
      <c r="C1629" s="3" t="str">
        <f>"王梦茹"</f>
        <v>王梦茹</v>
      </c>
      <c r="D1629" s="3" t="str">
        <f>"女"</f>
        <v>女</v>
      </c>
      <c r="E1629" s="3" t="str">
        <f>"2507015615"</f>
        <v>2507015615</v>
      </c>
      <c r="F1629" s="3" t="str">
        <f t="shared" si="159"/>
        <v>56</v>
      </c>
      <c r="G1629" s="4" t="str">
        <f>"15"</f>
        <v>15</v>
      </c>
      <c r="H1629" s="5">
        <v>66.7</v>
      </c>
      <c r="I1629" s="3"/>
    </row>
    <row r="1630" customHeight="1" spans="1:9">
      <c r="A1630" s="3" t="str">
        <f t="shared" si="161"/>
        <v>0106</v>
      </c>
      <c r="B1630" s="3" t="s">
        <v>20</v>
      </c>
      <c r="C1630" s="3" t="str">
        <f>"高瑞"</f>
        <v>高瑞</v>
      </c>
      <c r="D1630" s="3" t="str">
        <f>"男"</f>
        <v>男</v>
      </c>
      <c r="E1630" s="3" t="str">
        <f>"2507015616"</f>
        <v>2507015616</v>
      </c>
      <c r="F1630" s="3" t="str">
        <f t="shared" si="159"/>
        <v>56</v>
      </c>
      <c r="G1630" s="4" t="str">
        <f>"16"</f>
        <v>16</v>
      </c>
      <c r="H1630" s="5">
        <v>88.4</v>
      </c>
      <c r="I1630" s="3"/>
    </row>
    <row r="1631" customHeight="1" spans="1:9">
      <c r="A1631" s="3" t="str">
        <f t="shared" si="161"/>
        <v>0106</v>
      </c>
      <c r="B1631" s="3" t="s">
        <v>20</v>
      </c>
      <c r="C1631" s="3" t="str">
        <f>"张顺顺"</f>
        <v>张顺顺</v>
      </c>
      <c r="D1631" s="3" t="str">
        <f>"男"</f>
        <v>男</v>
      </c>
      <c r="E1631" s="3" t="str">
        <f>"2507015617"</f>
        <v>2507015617</v>
      </c>
      <c r="F1631" s="3" t="str">
        <f t="shared" si="159"/>
        <v>56</v>
      </c>
      <c r="G1631" s="4" t="str">
        <f>"17"</f>
        <v>17</v>
      </c>
      <c r="H1631" s="5">
        <v>80.4</v>
      </c>
      <c r="I1631" s="3"/>
    </row>
    <row r="1632" customHeight="1" spans="1:9">
      <c r="A1632" s="3" t="str">
        <f t="shared" si="161"/>
        <v>0106</v>
      </c>
      <c r="B1632" s="3" t="s">
        <v>20</v>
      </c>
      <c r="C1632" s="3" t="str">
        <f>"邵晶"</f>
        <v>邵晶</v>
      </c>
      <c r="D1632" s="3" t="str">
        <f>"女"</f>
        <v>女</v>
      </c>
      <c r="E1632" s="3" t="str">
        <f>"2507015618"</f>
        <v>2507015618</v>
      </c>
      <c r="F1632" s="3" t="str">
        <f t="shared" si="159"/>
        <v>56</v>
      </c>
      <c r="G1632" s="4" t="str">
        <f>"18"</f>
        <v>18</v>
      </c>
      <c r="H1632" s="5">
        <v>59.4</v>
      </c>
      <c r="I1632" s="3"/>
    </row>
    <row r="1633" customHeight="1" spans="1:9">
      <c r="A1633" s="3" t="str">
        <f t="shared" si="161"/>
        <v>0106</v>
      </c>
      <c r="B1633" s="3" t="s">
        <v>20</v>
      </c>
      <c r="C1633" s="3" t="str">
        <f>"王闯"</f>
        <v>王闯</v>
      </c>
      <c r="D1633" s="3" t="str">
        <f>"男"</f>
        <v>男</v>
      </c>
      <c r="E1633" s="3" t="str">
        <f>"2507015619"</f>
        <v>2507015619</v>
      </c>
      <c r="F1633" s="3" t="str">
        <f t="shared" si="159"/>
        <v>56</v>
      </c>
      <c r="G1633" s="4" t="str">
        <f>"19"</f>
        <v>19</v>
      </c>
      <c r="H1633" s="5">
        <v>0</v>
      </c>
      <c r="I1633" s="3" t="s">
        <v>11</v>
      </c>
    </row>
    <row r="1634" customHeight="1" spans="1:9">
      <c r="A1634" s="3" t="str">
        <f t="shared" si="161"/>
        <v>0106</v>
      </c>
      <c r="B1634" s="3" t="s">
        <v>20</v>
      </c>
      <c r="C1634" s="3" t="str">
        <f>"魏新宇"</f>
        <v>魏新宇</v>
      </c>
      <c r="D1634" s="3" t="str">
        <f>"男"</f>
        <v>男</v>
      </c>
      <c r="E1634" s="3" t="str">
        <f>"2507015620"</f>
        <v>2507015620</v>
      </c>
      <c r="F1634" s="3" t="str">
        <f t="shared" si="159"/>
        <v>56</v>
      </c>
      <c r="G1634" s="4" t="str">
        <f>"20"</f>
        <v>20</v>
      </c>
      <c r="H1634" s="5">
        <v>0</v>
      </c>
      <c r="I1634" s="3" t="s">
        <v>11</v>
      </c>
    </row>
    <row r="1635" customHeight="1" spans="1:9">
      <c r="A1635" s="3" t="str">
        <f t="shared" si="161"/>
        <v>0106</v>
      </c>
      <c r="B1635" s="3" t="s">
        <v>20</v>
      </c>
      <c r="C1635" s="3" t="str">
        <f>"丁真"</f>
        <v>丁真</v>
      </c>
      <c r="D1635" s="3" t="str">
        <f>"女"</f>
        <v>女</v>
      </c>
      <c r="E1635" s="3" t="str">
        <f>"2507015621"</f>
        <v>2507015621</v>
      </c>
      <c r="F1635" s="3" t="str">
        <f t="shared" si="159"/>
        <v>56</v>
      </c>
      <c r="G1635" s="4" t="str">
        <f>"21"</f>
        <v>21</v>
      </c>
      <c r="H1635" s="5">
        <v>0</v>
      </c>
      <c r="I1635" s="3" t="s">
        <v>11</v>
      </c>
    </row>
    <row r="1636" customHeight="1" spans="1:9">
      <c r="A1636" s="3" t="str">
        <f t="shared" si="161"/>
        <v>0106</v>
      </c>
      <c r="B1636" s="3" t="s">
        <v>20</v>
      </c>
      <c r="C1636" s="3" t="str">
        <f>"薛福禄"</f>
        <v>薛福禄</v>
      </c>
      <c r="D1636" s="3" t="str">
        <f>"男"</f>
        <v>男</v>
      </c>
      <c r="E1636" s="3" t="str">
        <f>"2507015622"</f>
        <v>2507015622</v>
      </c>
      <c r="F1636" s="3" t="str">
        <f t="shared" si="159"/>
        <v>56</v>
      </c>
      <c r="G1636" s="4" t="str">
        <f>"22"</f>
        <v>22</v>
      </c>
      <c r="H1636" s="5">
        <v>60.7</v>
      </c>
      <c r="I1636" s="3"/>
    </row>
    <row r="1637" customHeight="1" spans="1:9">
      <c r="A1637" s="3" t="str">
        <f t="shared" si="161"/>
        <v>0106</v>
      </c>
      <c r="B1637" s="3" t="s">
        <v>20</v>
      </c>
      <c r="C1637" s="3" t="str">
        <f>"王子昂"</f>
        <v>王子昂</v>
      </c>
      <c r="D1637" s="3" t="str">
        <f>"男"</f>
        <v>男</v>
      </c>
      <c r="E1637" s="3" t="str">
        <f>"2507015623"</f>
        <v>2507015623</v>
      </c>
      <c r="F1637" s="3" t="str">
        <f t="shared" si="159"/>
        <v>56</v>
      </c>
      <c r="G1637" s="4" t="str">
        <f>"23"</f>
        <v>23</v>
      </c>
      <c r="H1637" s="5">
        <v>57.9</v>
      </c>
      <c r="I1637" s="3"/>
    </row>
    <row r="1638" customHeight="1" spans="1:9">
      <c r="A1638" s="3" t="str">
        <f t="shared" si="161"/>
        <v>0106</v>
      </c>
      <c r="B1638" s="3" t="s">
        <v>20</v>
      </c>
      <c r="C1638" s="3" t="str">
        <f>"李中贤"</f>
        <v>李中贤</v>
      </c>
      <c r="D1638" s="3" t="str">
        <f>"男"</f>
        <v>男</v>
      </c>
      <c r="E1638" s="3" t="str">
        <f>"2507015624"</f>
        <v>2507015624</v>
      </c>
      <c r="F1638" s="3" t="str">
        <f t="shared" si="159"/>
        <v>56</v>
      </c>
      <c r="G1638" s="4" t="str">
        <f>"24"</f>
        <v>24</v>
      </c>
      <c r="H1638" s="5">
        <v>0</v>
      </c>
      <c r="I1638" s="3" t="s">
        <v>11</v>
      </c>
    </row>
    <row r="1639" customHeight="1" spans="1:9">
      <c r="A1639" s="3" t="str">
        <f t="shared" si="161"/>
        <v>0106</v>
      </c>
      <c r="B1639" s="3" t="s">
        <v>20</v>
      </c>
      <c r="C1639" s="3" t="str">
        <f>"孙钰"</f>
        <v>孙钰</v>
      </c>
      <c r="D1639" s="3" t="str">
        <f>"女"</f>
        <v>女</v>
      </c>
      <c r="E1639" s="3" t="str">
        <f>"2507015625"</f>
        <v>2507015625</v>
      </c>
      <c r="F1639" s="3" t="str">
        <f t="shared" si="159"/>
        <v>56</v>
      </c>
      <c r="G1639" s="4" t="str">
        <f>"25"</f>
        <v>25</v>
      </c>
      <c r="H1639" s="5">
        <v>81.8</v>
      </c>
      <c r="I1639" s="3"/>
    </row>
    <row r="1640" customHeight="1" spans="1:9">
      <c r="A1640" s="3" t="str">
        <f t="shared" si="161"/>
        <v>0106</v>
      </c>
      <c r="B1640" s="3" t="s">
        <v>20</v>
      </c>
      <c r="C1640" s="3" t="str">
        <f>"史亚宇"</f>
        <v>史亚宇</v>
      </c>
      <c r="D1640" s="3" t="str">
        <f>"男"</f>
        <v>男</v>
      </c>
      <c r="E1640" s="3" t="str">
        <f>"2507015626"</f>
        <v>2507015626</v>
      </c>
      <c r="F1640" s="3" t="str">
        <f t="shared" si="159"/>
        <v>56</v>
      </c>
      <c r="G1640" s="4" t="str">
        <f>"26"</f>
        <v>26</v>
      </c>
      <c r="H1640" s="5">
        <v>61.5</v>
      </c>
      <c r="I1640" s="3"/>
    </row>
    <row r="1641" customHeight="1" spans="1:9">
      <c r="A1641" s="3" t="str">
        <f t="shared" si="161"/>
        <v>0106</v>
      </c>
      <c r="B1641" s="3" t="s">
        <v>20</v>
      </c>
      <c r="C1641" s="3" t="str">
        <f>"刘振华"</f>
        <v>刘振华</v>
      </c>
      <c r="D1641" s="3" t="str">
        <f>"男"</f>
        <v>男</v>
      </c>
      <c r="E1641" s="3" t="str">
        <f>"2507015627"</f>
        <v>2507015627</v>
      </c>
      <c r="F1641" s="3" t="str">
        <f t="shared" si="159"/>
        <v>56</v>
      </c>
      <c r="G1641" s="4" t="str">
        <f>"27"</f>
        <v>27</v>
      </c>
      <c r="H1641" s="5">
        <v>66.3</v>
      </c>
      <c r="I1641" s="3"/>
    </row>
    <row r="1642" customHeight="1" spans="1:9">
      <c r="A1642" s="3" t="str">
        <f t="shared" si="161"/>
        <v>0106</v>
      </c>
      <c r="B1642" s="3" t="s">
        <v>20</v>
      </c>
      <c r="C1642" s="3" t="str">
        <f>"张伟"</f>
        <v>张伟</v>
      </c>
      <c r="D1642" s="3" t="str">
        <f>"男"</f>
        <v>男</v>
      </c>
      <c r="E1642" s="3" t="str">
        <f>"2507015628"</f>
        <v>2507015628</v>
      </c>
      <c r="F1642" s="3" t="str">
        <f t="shared" si="159"/>
        <v>56</v>
      </c>
      <c r="G1642" s="4" t="str">
        <f>"28"</f>
        <v>28</v>
      </c>
      <c r="H1642" s="5">
        <v>79.4</v>
      </c>
      <c r="I1642" s="3"/>
    </row>
    <row r="1643" customHeight="1" spans="1:9">
      <c r="A1643" s="3" t="str">
        <f t="shared" si="161"/>
        <v>0106</v>
      </c>
      <c r="B1643" s="3" t="s">
        <v>20</v>
      </c>
      <c r="C1643" s="3" t="str">
        <f>"陈鹏"</f>
        <v>陈鹏</v>
      </c>
      <c r="D1643" s="3" t="str">
        <f>"男"</f>
        <v>男</v>
      </c>
      <c r="E1643" s="3" t="str">
        <f>"2507015629"</f>
        <v>2507015629</v>
      </c>
      <c r="F1643" s="3" t="str">
        <f t="shared" si="159"/>
        <v>56</v>
      </c>
      <c r="G1643" s="4" t="str">
        <f>"29"</f>
        <v>29</v>
      </c>
      <c r="H1643" s="5">
        <v>0</v>
      </c>
      <c r="I1643" s="3" t="s">
        <v>11</v>
      </c>
    </row>
    <row r="1644" customHeight="1" spans="1:9">
      <c r="A1644" s="3" t="str">
        <f t="shared" si="161"/>
        <v>0106</v>
      </c>
      <c r="B1644" s="3" t="s">
        <v>20</v>
      </c>
      <c r="C1644" s="3" t="str">
        <f>"牛玉汝"</f>
        <v>牛玉汝</v>
      </c>
      <c r="D1644" s="3" t="str">
        <f>"女"</f>
        <v>女</v>
      </c>
      <c r="E1644" s="3" t="str">
        <f>"2507015630"</f>
        <v>2507015630</v>
      </c>
      <c r="F1644" s="3" t="str">
        <f t="shared" si="159"/>
        <v>56</v>
      </c>
      <c r="G1644" s="4" t="str">
        <f>"30"</f>
        <v>30</v>
      </c>
      <c r="H1644" s="5">
        <v>0</v>
      </c>
      <c r="I1644" s="3" t="s">
        <v>11</v>
      </c>
    </row>
    <row r="1645" customHeight="1" spans="1:9">
      <c r="A1645" s="3" t="str">
        <f t="shared" si="161"/>
        <v>0106</v>
      </c>
      <c r="B1645" s="3" t="s">
        <v>20</v>
      </c>
      <c r="C1645" s="3" t="str">
        <f>"罗晨"</f>
        <v>罗晨</v>
      </c>
      <c r="D1645" s="3" t="str">
        <f>"女"</f>
        <v>女</v>
      </c>
      <c r="E1645" s="3" t="str">
        <f>"2507015631"</f>
        <v>2507015631</v>
      </c>
      <c r="F1645" s="3" t="str">
        <f t="shared" si="159"/>
        <v>56</v>
      </c>
      <c r="G1645" s="4" t="str">
        <f>"31"</f>
        <v>31</v>
      </c>
      <c r="H1645" s="5">
        <v>0</v>
      </c>
      <c r="I1645" s="3" t="s">
        <v>11</v>
      </c>
    </row>
    <row r="1646" customHeight="1" spans="1:9">
      <c r="A1646" s="3" t="str">
        <f t="shared" si="161"/>
        <v>0106</v>
      </c>
      <c r="B1646" s="3" t="s">
        <v>20</v>
      </c>
      <c r="C1646" s="3" t="str">
        <f>"刘建宇"</f>
        <v>刘建宇</v>
      </c>
      <c r="D1646" s="3" t="str">
        <f>"男"</f>
        <v>男</v>
      </c>
      <c r="E1646" s="3" t="str">
        <f>"2507015701"</f>
        <v>2507015701</v>
      </c>
      <c r="F1646" s="3" t="str">
        <f t="shared" ref="F1646:F1676" si="162">"57"</f>
        <v>57</v>
      </c>
      <c r="G1646" s="4" t="str">
        <f>"01"</f>
        <v>01</v>
      </c>
      <c r="H1646" s="5">
        <v>61.3</v>
      </c>
      <c r="I1646" s="3"/>
    </row>
    <row r="1647" customHeight="1" spans="1:9">
      <c r="A1647" s="3" t="str">
        <f t="shared" si="161"/>
        <v>0106</v>
      </c>
      <c r="B1647" s="3" t="s">
        <v>20</v>
      </c>
      <c r="C1647" s="3" t="str">
        <f>"刘晓雪"</f>
        <v>刘晓雪</v>
      </c>
      <c r="D1647" s="3" t="str">
        <f>"女"</f>
        <v>女</v>
      </c>
      <c r="E1647" s="3" t="str">
        <f>"2507015702"</f>
        <v>2507015702</v>
      </c>
      <c r="F1647" s="3" t="str">
        <f t="shared" si="162"/>
        <v>57</v>
      </c>
      <c r="G1647" s="4" t="str">
        <f>"02"</f>
        <v>02</v>
      </c>
      <c r="H1647" s="5">
        <v>0</v>
      </c>
      <c r="I1647" s="3" t="s">
        <v>11</v>
      </c>
    </row>
    <row r="1648" customHeight="1" spans="1:9">
      <c r="A1648" s="3" t="str">
        <f t="shared" si="161"/>
        <v>0106</v>
      </c>
      <c r="B1648" s="3" t="s">
        <v>20</v>
      </c>
      <c r="C1648" s="3" t="str">
        <f>"耿新宇"</f>
        <v>耿新宇</v>
      </c>
      <c r="D1648" s="3" t="str">
        <f>"男"</f>
        <v>男</v>
      </c>
      <c r="E1648" s="3" t="str">
        <f>"2507015703"</f>
        <v>2507015703</v>
      </c>
      <c r="F1648" s="3" t="str">
        <f t="shared" si="162"/>
        <v>57</v>
      </c>
      <c r="G1648" s="4" t="str">
        <f>"03"</f>
        <v>03</v>
      </c>
      <c r="H1648" s="5">
        <v>0</v>
      </c>
      <c r="I1648" s="3" t="s">
        <v>11</v>
      </c>
    </row>
    <row r="1649" customHeight="1" spans="1:9">
      <c r="A1649" s="3" t="str">
        <f t="shared" si="161"/>
        <v>0106</v>
      </c>
      <c r="B1649" s="3" t="s">
        <v>20</v>
      </c>
      <c r="C1649" s="3" t="str">
        <f>"左育丞"</f>
        <v>左育丞</v>
      </c>
      <c r="D1649" s="3" t="str">
        <f>"男"</f>
        <v>男</v>
      </c>
      <c r="E1649" s="3" t="str">
        <f>"2507015704"</f>
        <v>2507015704</v>
      </c>
      <c r="F1649" s="3" t="str">
        <f t="shared" si="162"/>
        <v>57</v>
      </c>
      <c r="G1649" s="4" t="str">
        <f>"04"</f>
        <v>04</v>
      </c>
      <c r="H1649" s="5">
        <v>0</v>
      </c>
      <c r="I1649" s="3" t="s">
        <v>11</v>
      </c>
    </row>
    <row r="1650" customHeight="1" spans="1:9">
      <c r="A1650" s="3" t="str">
        <f t="shared" si="161"/>
        <v>0106</v>
      </c>
      <c r="B1650" s="3" t="s">
        <v>20</v>
      </c>
      <c r="C1650" s="3" t="str">
        <f>"肖遥"</f>
        <v>肖遥</v>
      </c>
      <c r="D1650" s="3" t="str">
        <f>"男"</f>
        <v>男</v>
      </c>
      <c r="E1650" s="3" t="str">
        <f>"2507015705"</f>
        <v>2507015705</v>
      </c>
      <c r="F1650" s="3" t="str">
        <f t="shared" si="162"/>
        <v>57</v>
      </c>
      <c r="G1650" s="4" t="str">
        <f>"05"</f>
        <v>05</v>
      </c>
      <c r="H1650" s="5">
        <v>64.8</v>
      </c>
      <c r="I1650" s="3"/>
    </row>
    <row r="1651" customHeight="1" spans="1:9">
      <c r="A1651" s="3" t="str">
        <f t="shared" si="161"/>
        <v>0106</v>
      </c>
      <c r="B1651" s="3" t="s">
        <v>20</v>
      </c>
      <c r="C1651" s="3" t="str">
        <f>"王岚湉"</f>
        <v>王岚湉</v>
      </c>
      <c r="D1651" s="3" t="str">
        <f>"男"</f>
        <v>男</v>
      </c>
      <c r="E1651" s="3" t="str">
        <f>"2507015706"</f>
        <v>2507015706</v>
      </c>
      <c r="F1651" s="3" t="str">
        <f t="shared" si="162"/>
        <v>57</v>
      </c>
      <c r="G1651" s="4" t="str">
        <f>"06"</f>
        <v>06</v>
      </c>
      <c r="H1651" s="5">
        <v>63</v>
      </c>
      <c r="I1651" s="3"/>
    </row>
    <row r="1652" customHeight="1" spans="1:9">
      <c r="A1652" s="3" t="str">
        <f t="shared" si="161"/>
        <v>0106</v>
      </c>
      <c r="B1652" s="3" t="s">
        <v>20</v>
      </c>
      <c r="C1652" s="3" t="str">
        <f>"沙帅帅"</f>
        <v>沙帅帅</v>
      </c>
      <c r="D1652" s="3" t="str">
        <f>"男"</f>
        <v>男</v>
      </c>
      <c r="E1652" s="3" t="str">
        <f>"2507015707"</f>
        <v>2507015707</v>
      </c>
      <c r="F1652" s="3" t="str">
        <f t="shared" si="162"/>
        <v>57</v>
      </c>
      <c r="G1652" s="4" t="str">
        <f>"07"</f>
        <v>07</v>
      </c>
      <c r="H1652" s="5">
        <v>50.6</v>
      </c>
      <c r="I1652" s="3"/>
    </row>
    <row r="1653" customHeight="1" spans="1:9">
      <c r="A1653" s="3" t="str">
        <f t="shared" si="161"/>
        <v>0106</v>
      </c>
      <c r="B1653" s="3" t="s">
        <v>20</v>
      </c>
      <c r="C1653" s="3" t="str">
        <f>"王静静"</f>
        <v>王静静</v>
      </c>
      <c r="D1653" s="3" t="str">
        <f>"女"</f>
        <v>女</v>
      </c>
      <c r="E1653" s="3" t="str">
        <f>"2507015708"</f>
        <v>2507015708</v>
      </c>
      <c r="F1653" s="3" t="str">
        <f t="shared" si="162"/>
        <v>57</v>
      </c>
      <c r="G1653" s="4" t="str">
        <f>"08"</f>
        <v>08</v>
      </c>
      <c r="H1653" s="5">
        <v>0</v>
      </c>
      <c r="I1653" s="3" t="s">
        <v>11</v>
      </c>
    </row>
    <row r="1654" customHeight="1" spans="1:9">
      <c r="A1654" s="3" t="str">
        <f t="shared" si="161"/>
        <v>0106</v>
      </c>
      <c r="B1654" s="3" t="s">
        <v>20</v>
      </c>
      <c r="C1654" s="3" t="str">
        <f>"魏新峰"</f>
        <v>魏新峰</v>
      </c>
      <c r="D1654" s="3" t="str">
        <f>"男"</f>
        <v>男</v>
      </c>
      <c r="E1654" s="3" t="str">
        <f>"2507015709"</f>
        <v>2507015709</v>
      </c>
      <c r="F1654" s="3" t="str">
        <f t="shared" si="162"/>
        <v>57</v>
      </c>
      <c r="G1654" s="4" t="str">
        <f>"09"</f>
        <v>09</v>
      </c>
      <c r="H1654" s="5">
        <v>0</v>
      </c>
      <c r="I1654" s="3" t="s">
        <v>11</v>
      </c>
    </row>
    <row r="1655" customHeight="1" spans="1:9">
      <c r="A1655" s="3" t="str">
        <f t="shared" si="161"/>
        <v>0106</v>
      </c>
      <c r="B1655" s="3" t="s">
        <v>20</v>
      </c>
      <c r="C1655" s="3" t="str">
        <f>"刘圆圆"</f>
        <v>刘圆圆</v>
      </c>
      <c r="D1655" s="3" t="str">
        <f>"女"</f>
        <v>女</v>
      </c>
      <c r="E1655" s="3" t="str">
        <f>"2507015710"</f>
        <v>2507015710</v>
      </c>
      <c r="F1655" s="3" t="str">
        <f t="shared" si="162"/>
        <v>57</v>
      </c>
      <c r="G1655" s="4" t="str">
        <f>"10"</f>
        <v>10</v>
      </c>
      <c r="H1655" s="5">
        <v>0</v>
      </c>
      <c r="I1655" s="3" t="s">
        <v>11</v>
      </c>
    </row>
    <row r="1656" customHeight="1" spans="1:9">
      <c r="A1656" s="3" t="str">
        <f t="shared" si="161"/>
        <v>0106</v>
      </c>
      <c r="B1656" s="3" t="s">
        <v>20</v>
      </c>
      <c r="C1656" s="3" t="str">
        <f>"洪旭"</f>
        <v>洪旭</v>
      </c>
      <c r="D1656" s="3" t="str">
        <f>"男"</f>
        <v>男</v>
      </c>
      <c r="E1656" s="3" t="str">
        <f>"2507015711"</f>
        <v>2507015711</v>
      </c>
      <c r="F1656" s="3" t="str">
        <f t="shared" si="162"/>
        <v>57</v>
      </c>
      <c r="G1656" s="4" t="str">
        <f>"11"</f>
        <v>11</v>
      </c>
      <c r="H1656" s="5">
        <v>0</v>
      </c>
      <c r="I1656" s="3" t="s">
        <v>11</v>
      </c>
    </row>
    <row r="1657" customHeight="1" spans="1:9">
      <c r="A1657" s="3" t="str">
        <f t="shared" si="161"/>
        <v>0106</v>
      </c>
      <c r="B1657" s="3" t="s">
        <v>20</v>
      </c>
      <c r="C1657" s="3" t="str">
        <f>"欧林智"</f>
        <v>欧林智</v>
      </c>
      <c r="D1657" s="3" t="str">
        <f>"男"</f>
        <v>男</v>
      </c>
      <c r="E1657" s="3" t="str">
        <f>"2507015712"</f>
        <v>2507015712</v>
      </c>
      <c r="F1657" s="3" t="str">
        <f t="shared" si="162"/>
        <v>57</v>
      </c>
      <c r="G1657" s="4" t="str">
        <f>"12"</f>
        <v>12</v>
      </c>
      <c r="H1657" s="5">
        <v>58.8</v>
      </c>
      <c r="I1657" s="3"/>
    </row>
    <row r="1658" customHeight="1" spans="1:9">
      <c r="A1658" s="3" t="str">
        <f t="shared" si="161"/>
        <v>0106</v>
      </c>
      <c r="B1658" s="3" t="s">
        <v>20</v>
      </c>
      <c r="C1658" s="3" t="str">
        <f>"张亚"</f>
        <v>张亚</v>
      </c>
      <c r="D1658" s="3" t="str">
        <f>"男"</f>
        <v>男</v>
      </c>
      <c r="E1658" s="3" t="str">
        <f>"2507015713"</f>
        <v>2507015713</v>
      </c>
      <c r="F1658" s="3" t="str">
        <f t="shared" si="162"/>
        <v>57</v>
      </c>
      <c r="G1658" s="4" t="str">
        <f>"13"</f>
        <v>13</v>
      </c>
      <c r="H1658" s="5">
        <v>69.8</v>
      </c>
      <c r="I1658" s="3"/>
    </row>
    <row r="1659" customHeight="1" spans="1:9">
      <c r="A1659" s="3" t="str">
        <f t="shared" si="161"/>
        <v>0106</v>
      </c>
      <c r="B1659" s="3" t="s">
        <v>20</v>
      </c>
      <c r="C1659" s="3" t="str">
        <f>"王正鑫"</f>
        <v>王正鑫</v>
      </c>
      <c r="D1659" s="3" t="str">
        <f>"男"</f>
        <v>男</v>
      </c>
      <c r="E1659" s="3" t="str">
        <f>"2507015714"</f>
        <v>2507015714</v>
      </c>
      <c r="F1659" s="3" t="str">
        <f t="shared" si="162"/>
        <v>57</v>
      </c>
      <c r="G1659" s="4" t="str">
        <f>"14"</f>
        <v>14</v>
      </c>
      <c r="H1659" s="5">
        <v>68.9</v>
      </c>
      <c r="I1659" s="3"/>
    </row>
    <row r="1660" customHeight="1" spans="1:9">
      <c r="A1660" s="3" t="str">
        <f t="shared" si="161"/>
        <v>0106</v>
      </c>
      <c r="B1660" s="3" t="s">
        <v>20</v>
      </c>
      <c r="C1660" s="3" t="str">
        <f>"房营营"</f>
        <v>房营营</v>
      </c>
      <c r="D1660" s="3" t="str">
        <f>"女"</f>
        <v>女</v>
      </c>
      <c r="E1660" s="3" t="str">
        <f>"2507015715"</f>
        <v>2507015715</v>
      </c>
      <c r="F1660" s="3" t="str">
        <f t="shared" si="162"/>
        <v>57</v>
      </c>
      <c r="G1660" s="4" t="str">
        <f>"15"</f>
        <v>15</v>
      </c>
      <c r="H1660" s="5">
        <v>70.9</v>
      </c>
      <c r="I1660" s="3"/>
    </row>
    <row r="1661" customHeight="1" spans="1:9">
      <c r="A1661" s="3" t="str">
        <f t="shared" si="161"/>
        <v>0106</v>
      </c>
      <c r="B1661" s="3" t="s">
        <v>20</v>
      </c>
      <c r="C1661" s="3" t="str">
        <f>"李文昊"</f>
        <v>李文昊</v>
      </c>
      <c r="D1661" s="3" t="str">
        <f>"男"</f>
        <v>男</v>
      </c>
      <c r="E1661" s="3" t="str">
        <f>"2507015716"</f>
        <v>2507015716</v>
      </c>
      <c r="F1661" s="3" t="str">
        <f t="shared" si="162"/>
        <v>57</v>
      </c>
      <c r="G1661" s="4" t="str">
        <f>"16"</f>
        <v>16</v>
      </c>
      <c r="H1661" s="5">
        <v>0</v>
      </c>
      <c r="I1661" s="3" t="s">
        <v>11</v>
      </c>
    </row>
    <row r="1662" customHeight="1" spans="1:9">
      <c r="A1662" s="3" t="str">
        <f t="shared" si="161"/>
        <v>0106</v>
      </c>
      <c r="B1662" s="3" t="s">
        <v>20</v>
      </c>
      <c r="C1662" s="3" t="str">
        <f>"彭雨"</f>
        <v>彭雨</v>
      </c>
      <c r="D1662" s="3" t="str">
        <f>"女"</f>
        <v>女</v>
      </c>
      <c r="E1662" s="3" t="str">
        <f>"2507015717"</f>
        <v>2507015717</v>
      </c>
      <c r="F1662" s="3" t="str">
        <f t="shared" si="162"/>
        <v>57</v>
      </c>
      <c r="G1662" s="4" t="str">
        <f>"17"</f>
        <v>17</v>
      </c>
      <c r="H1662" s="5">
        <v>78.8</v>
      </c>
      <c r="I1662" s="3"/>
    </row>
    <row r="1663" customHeight="1" spans="1:9">
      <c r="A1663" s="3" t="str">
        <f t="shared" si="161"/>
        <v>0106</v>
      </c>
      <c r="B1663" s="3" t="s">
        <v>20</v>
      </c>
      <c r="C1663" s="3" t="str">
        <f>"周阳"</f>
        <v>周阳</v>
      </c>
      <c r="D1663" s="3" t="str">
        <f>"男"</f>
        <v>男</v>
      </c>
      <c r="E1663" s="3" t="str">
        <f>"2507015718"</f>
        <v>2507015718</v>
      </c>
      <c r="F1663" s="3" t="str">
        <f t="shared" si="162"/>
        <v>57</v>
      </c>
      <c r="G1663" s="4" t="str">
        <f>"18"</f>
        <v>18</v>
      </c>
      <c r="H1663" s="5">
        <v>0</v>
      </c>
      <c r="I1663" s="3" t="s">
        <v>11</v>
      </c>
    </row>
    <row r="1664" customHeight="1" spans="1:9">
      <c r="A1664" s="3" t="str">
        <f t="shared" si="161"/>
        <v>0106</v>
      </c>
      <c r="B1664" s="3" t="s">
        <v>20</v>
      </c>
      <c r="C1664" s="3" t="str">
        <f>"秦龙祥"</f>
        <v>秦龙祥</v>
      </c>
      <c r="D1664" s="3" t="str">
        <f>"男"</f>
        <v>男</v>
      </c>
      <c r="E1664" s="3" t="str">
        <f>"2507015719"</f>
        <v>2507015719</v>
      </c>
      <c r="F1664" s="3" t="str">
        <f t="shared" si="162"/>
        <v>57</v>
      </c>
      <c r="G1664" s="4" t="str">
        <f>"19"</f>
        <v>19</v>
      </c>
      <c r="H1664" s="5">
        <v>72.1</v>
      </c>
      <c r="I1664" s="3"/>
    </row>
    <row r="1665" customHeight="1" spans="1:9">
      <c r="A1665" s="3" t="str">
        <f t="shared" si="161"/>
        <v>0106</v>
      </c>
      <c r="B1665" s="3" t="s">
        <v>20</v>
      </c>
      <c r="C1665" s="3" t="str">
        <f>"刘畅"</f>
        <v>刘畅</v>
      </c>
      <c r="D1665" s="3" t="str">
        <f>"女"</f>
        <v>女</v>
      </c>
      <c r="E1665" s="3" t="str">
        <f>"2507015720"</f>
        <v>2507015720</v>
      </c>
      <c r="F1665" s="3" t="str">
        <f t="shared" si="162"/>
        <v>57</v>
      </c>
      <c r="G1665" s="4" t="str">
        <f>"20"</f>
        <v>20</v>
      </c>
      <c r="H1665" s="5">
        <v>80.8</v>
      </c>
      <c r="I1665" s="3"/>
    </row>
    <row r="1666" customHeight="1" spans="1:9">
      <c r="A1666" s="3" t="str">
        <f t="shared" si="161"/>
        <v>0106</v>
      </c>
      <c r="B1666" s="3" t="s">
        <v>20</v>
      </c>
      <c r="C1666" s="3" t="str">
        <f>"朱思宇"</f>
        <v>朱思宇</v>
      </c>
      <c r="D1666" s="3" t="str">
        <f>"男"</f>
        <v>男</v>
      </c>
      <c r="E1666" s="3" t="str">
        <f>"2507015721"</f>
        <v>2507015721</v>
      </c>
      <c r="F1666" s="3" t="str">
        <f t="shared" si="162"/>
        <v>57</v>
      </c>
      <c r="G1666" s="4" t="str">
        <f>"21"</f>
        <v>21</v>
      </c>
      <c r="H1666" s="5">
        <v>71.3</v>
      </c>
      <c r="I1666" s="3"/>
    </row>
    <row r="1667" customHeight="1" spans="1:9">
      <c r="A1667" s="3" t="str">
        <f t="shared" si="161"/>
        <v>0106</v>
      </c>
      <c r="B1667" s="3" t="s">
        <v>20</v>
      </c>
      <c r="C1667" s="3" t="str">
        <f>"张丹宁"</f>
        <v>张丹宁</v>
      </c>
      <c r="D1667" s="3" t="str">
        <f>"女"</f>
        <v>女</v>
      </c>
      <c r="E1667" s="3" t="str">
        <f>"2507015722"</f>
        <v>2507015722</v>
      </c>
      <c r="F1667" s="3" t="str">
        <f t="shared" si="162"/>
        <v>57</v>
      </c>
      <c r="G1667" s="4" t="str">
        <f>"22"</f>
        <v>22</v>
      </c>
      <c r="H1667" s="5">
        <v>64.6</v>
      </c>
      <c r="I1667" s="3"/>
    </row>
    <row r="1668" customHeight="1" spans="1:9">
      <c r="A1668" s="3" t="str">
        <f t="shared" si="161"/>
        <v>0106</v>
      </c>
      <c r="B1668" s="3" t="s">
        <v>20</v>
      </c>
      <c r="C1668" s="3" t="str">
        <f>"万泽民"</f>
        <v>万泽民</v>
      </c>
      <c r="D1668" s="3" t="str">
        <f>"男"</f>
        <v>男</v>
      </c>
      <c r="E1668" s="3" t="str">
        <f>"2507015723"</f>
        <v>2507015723</v>
      </c>
      <c r="F1668" s="3" t="str">
        <f t="shared" si="162"/>
        <v>57</v>
      </c>
      <c r="G1668" s="4" t="str">
        <f>"23"</f>
        <v>23</v>
      </c>
      <c r="H1668" s="5">
        <v>0</v>
      </c>
      <c r="I1668" s="3" t="s">
        <v>11</v>
      </c>
    </row>
    <row r="1669" customHeight="1" spans="1:9">
      <c r="A1669" s="3" t="str">
        <f t="shared" si="161"/>
        <v>0106</v>
      </c>
      <c r="B1669" s="3" t="s">
        <v>20</v>
      </c>
      <c r="C1669" s="3" t="str">
        <f>"潘佳文"</f>
        <v>潘佳文</v>
      </c>
      <c r="D1669" s="3" t="str">
        <f>"男"</f>
        <v>男</v>
      </c>
      <c r="E1669" s="3" t="str">
        <f>"2507015724"</f>
        <v>2507015724</v>
      </c>
      <c r="F1669" s="3" t="str">
        <f t="shared" si="162"/>
        <v>57</v>
      </c>
      <c r="G1669" s="4" t="str">
        <f>"24"</f>
        <v>24</v>
      </c>
      <c r="H1669" s="5">
        <v>70</v>
      </c>
      <c r="I1669" s="3"/>
    </row>
    <row r="1670" customHeight="1" spans="1:9">
      <c r="A1670" s="3" t="str">
        <f t="shared" si="161"/>
        <v>0106</v>
      </c>
      <c r="B1670" s="3" t="s">
        <v>20</v>
      </c>
      <c r="C1670" s="3" t="str">
        <f>"张雨童"</f>
        <v>张雨童</v>
      </c>
      <c r="D1670" s="3" t="str">
        <f>"男"</f>
        <v>男</v>
      </c>
      <c r="E1670" s="3" t="str">
        <f>"2507015725"</f>
        <v>2507015725</v>
      </c>
      <c r="F1670" s="3" t="str">
        <f t="shared" si="162"/>
        <v>57</v>
      </c>
      <c r="G1670" s="4" t="str">
        <f>"25"</f>
        <v>25</v>
      </c>
      <c r="H1670" s="5">
        <v>60.7</v>
      </c>
      <c r="I1670" s="3"/>
    </row>
    <row r="1671" customHeight="1" spans="1:9">
      <c r="A1671" s="3" t="str">
        <f t="shared" si="161"/>
        <v>0106</v>
      </c>
      <c r="B1671" s="3" t="s">
        <v>20</v>
      </c>
      <c r="C1671" s="3" t="str">
        <f>"王安吉"</f>
        <v>王安吉</v>
      </c>
      <c r="D1671" s="3" t="str">
        <f>"男"</f>
        <v>男</v>
      </c>
      <c r="E1671" s="3" t="str">
        <f>"2507015726"</f>
        <v>2507015726</v>
      </c>
      <c r="F1671" s="3" t="str">
        <f t="shared" si="162"/>
        <v>57</v>
      </c>
      <c r="G1671" s="4" t="str">
        <f>"26"</f>
        <v>26</v>
      </c>
      <c r="H1671" s="5">
        <v>70.3</v>
      </c>
      <c r="I1671" s="3"/>
    </row>
    <row r="1672" customHeight="1" spans="1:9">
      <c r="A1672" s="3" t="str">
        <f t="shared" si="161"/>
        <v>0106</v>
      </c>
      <c r="B1672" s="3" t="s">
        <v>20</v>
      </c>
      <c r="C1672" s="3" t="str">
        <f>"申欣"</f>
        <v>申欣</v>
      </c>
      <c r="D1672" s="3" t="str">
        <f>"女"</f>
        <v>女</v>
      </c>
      <c r="E1672" s="3" t="str">
        <f>"2507015727"</f>
        <v>2507015727</v>
      </c>
      <c r="F1672" s="3" t="str">
        <f t="shared" si="162"/>
        <v>57</v>
      </c>
      <c r="G1672" s="4" t="str">
        <f>"27"</f>
        <v>27</v>
      </c>
      <c r="H1672" s="5">
        <v>74.3</v>
      </c>
      <c r="I1672" s="3"/>
    </row>
    <row r="1673" customHeight="1" spans="1:9">
      <c r="A1673" s="3" t="str">
        <f t="shared" si="161"/>
        <v>0106</v>
      </c>
      <c r="B1673" s="3" t="s">
        <v>20</v>
      </c>
      <c r="C1673" s="3" t="str">
        <f>"李超"</f>
        <v>李超</v>
      </c>
      <c r="D1673" s="3" t="str">
        <f>"女"</f>
        <v>女</v>
      </c>
      <c r="E1673" s="3" t="str">
        <f>"2507015728"</f>
        <v>2507015728</v>
      </c>
      <c r="F1673" s="3" t="str">
        <f t="shared" si="162"/>
        <v>57</v>
      </c>
      <c r="G1673" s="4" t="str">
        <f>"28"</f>
        <v>28</v>
      </c>
      <c r="H1673" s="5">
        <v>69.1</v>
      </c>
      <c r="I1673" s="3"/>
    </row>
    <row r="1674" customHeight="1" spans="1:9">
      <c r="A1674" s="3" t="str">
        <f t="shared" si="161"/>
        <v>0106</v>
      </c>
      <c r="B1674" s="3" t="s">
        <v>20</v>
      </c>
      <c r="C1674" s="3" t="str">
        <f>"李甜甜"</f>
        <v>李甜甜</v>
      </c>
      <c r="D1674" s="3" t="str">
        <f>"女"</f>
        <v>女</v>
      </c>
      <c r="E1674" s="3" t="str">
        <f>"2507015729"</f>
        <v>2507015729</v>
      </c>
      <c r="F1674" s="3" t="str">
        <f t="shared" si="162"/>
        <v>57</v>
      </c>
      <c r="G1674" s="4" t="str">
        <f>"29"</f>
        <v>29</v>
      </c>
      <c r="H1674" s="5">
        <v>68.9</v>
      </c>
      <c r="I1674" s="3"/>
    </row>
    <row r="1675" customHeight="1" spans="1:9">
      <c r="A1675" s="3" t="str">
        <f t="shared" si="161"/>
        <v>0106</v>
      </c>
      <c r="B1675" s="3" t="s">
        <v>20</v>
      </c>
      <c r="C1675" s="3" t="str">
        <f>"赵武浩"</f>
        <v>赵武浩</v>
      </c>
      <c r="D1675" s="3" t="str">
        <f>"男"</f>
        <v>男</v>
      </c>
      <c r="E1675" s="3" t="str">
        <f>"2507015730"</f>
        <v>2507015730</v>
      </c>
      <c r="F1675" s="3" t="str">
        <f t="shared" si="162"/>
        <v>57</v>
      </c>
      <c r="G1675" s="4" t="str">
        <f>"30"</f>
        <v>30</v>
      </c>
      <c r="H1675" s="5">
        <v>60.7</v>
      </c>
      <c r="I1675" s="3"/>
    </row>
    <row r="1676" customHeight="1" spans="1:9">
      <c r="A1676" s="3" t="str">
        <f t="shared" si="161"/>
        <v>0106</v>
      </c>
      <c r="B1676" s="3" t="s">
        <v>20</v>
      </c>
      <c r="C1676" s="3" t="str">
        <f>"林成旺"</f>
        <v>林成旺</v>
      </c>
      <c r="D1676" s="3" t="str">
        <f>"男"</f>
        <v>男</v>
      </c>
      <c r="E1676" s="3" t="str">
        <f>"2507015731"</f>
        <v>2507015731</v>
      </c>
      <c r="F1676" s="3" t="str">
        <f t="shared" si="162"/>
        <v>57</v>
      </c>
      <c r="G1676" s="4" t="str">
        <f>"31"</f>
        <v>31</v>
      </c>
      <c r="H1676" s="5">
        <v>77.8</v>
      </c>
      <c r="I1676" s="3"/>
    </row>
    <row r="1677" customHeight="1" spans="1:9">
      <c r="A1677" s="3" t="str">
        <f t="shared" si="161"/>
        <v>0106</v>
      </c>
      <c r="B1677" s="3" t="s">
        <v>20</v>
      </c>
      <c r="C1677" s="3" t="str">
        <f>"靳耀"</f>
        <v>靳耀</v>
      </c>
      <c r="D1677" s="3" t="str">
        <f>"男"</f>
        <v>男</v>
      </c>
      <c r="E1677" s="3" t="str">
        <f>"2507015801"</f>
        <v>2507015801</v>
      </c>
      <c r="F1677" s="3" t="str">
        <f t="shared" ref="F1677:F1707" si="163">"58"</f>
        <v>58</v>
      </c>
      <c r="G1677" s="4" t="str">
        <f>"01"</f>
        <v>01</v>
      </c>
      <c r="H1677" s="5">
        <v>0</v>
      </c>
      <c r="I1677" s="3" t="s">
        <v>11</v>
      </c>
    </row>
    <row r="1678" customHeight="1" spans="1:9">
      <c r="A1678" s="3" t="str">
        <f t="shared" si="161"/>
        <v>0106</v>
      </c>
      <c r="B1678" s="3" t="s">
        <v>20</v>
      </c>
      <c r="C1678" s="3" t="str">
        <f>"王雪"</f>
        <v>王雪</v>
      </c>
      <c r="D1678" s="3" t="str">
        <f>"女"</f>
        <v>女</v>
      </c>
      <c r="E1678" s="3" t="str">
        <f>"2507015802"</f>
        <v>2507015802</v>
      </c>
      <c r="F1678" s="3" t="str">
        <f t="shared" si="163"/>
        <v>58</v>
      </c>
      <c r="G1678" s="4" t="str">
        <f>"02"</f>
        <v>02</v>
      </c>
      <c r="H1678" s="5">
        <v>75.8</v>
      </c>
      <c r="I1678" s="3"/>
    </row>
    <row r="1679" customHeight="1" spans="1:9">
      <c r="A1679" s="3" t="str">
        <f t="shared" si="161"/>
        <v>0106</v>
      </c>
      <c r="B1679" s="3" t="s">
        <v>20</v>
      </c>
      <c r="C1679" s="3" t="str">
        <f>"曹云昭"</f>
        <v>曹云昭</v>
      </c>
      <c r="D1679" s="3" t="str">
        <f t="shared" ref="D1679:D1685" si="164">"男"</f>
        <v>男</v>
      </c>
      <c r="E1679" s="3" t="str">
        <f>"2507015803"</f>
        <v>2507015803</v>
      </c>
      <c r="F1679" s="3" t="str">
        <f t="shared" si="163"/>
        <v>58</v>
      </c>
      <c r="G1679" s="4" t="str">
        <f>"03"</f>
        <v>03</v>
      </c>
      <c r="H1679" s="5">
        <v>70.3</v>
      </c>
      <c r="I1679" s="3"/>
    </row>
    <row r="1680" customHeight="1" spans="1:9">
      <c r="A1680" s="3" t="str">
        <f t="shared" si="161"/>
        <v>0106</v>
      </c>
      <c r="B1680" s="3" t="s">
        <v>20</v>
      </c>
      <c r="C1680" s="3" t="str">
        <f>"范昱昊"</f>
        <v>范昱昊</v>
      </c>
      <c r="D1680" s="3" t="str">
        <f t="shared" si="164"/>
        <v>男</v>
      </c>
      <c r="E1680" s="3" t="str">
        <f>"2507015804"</f>
        <v>2507015804</v>
      </c>
      <c r="F1680" s="3" t="str">
        <f t="shared" si="163"/>
        <v>58</v>
      </c>
      <c r="G1680" s="4" t="str">
        <f>"04"</f>
        <v>04</v>
      </c>
      <c r="H1680" s="5">
        <v>78.9</v>
      </c>
      <c r="I1680" s="3"/>
    </row>
    <row r="1681" customHeight="1" spans="1:9">
      <c r="A1681" s="3" t="str">
        <f t="shared" si="161"/>
        <v>0106</v>
      </c>
      <c r="B1681" s="3" t="s">
        <v>20</v>
      </c>
      <c r="C1681" s="3" t="str">
        <f>"欧阳河"</f>
        <v>欧阳河</v>
      </c>
      <c r="D1681" s="3" t="str">
        <f t="shared" si="164"/>
        <v>男</v>
      </c>
      <c r="E1681" s="3" t="str">
        <f>"2507015805"</f>
        <v>2507015805</v>
      </c>
      <c r="F1681" s="3" t="str">
        <f t="shared" si="163"/>
        <v>58</v>
      </c>
      <c r="G1681" s="4" t="str">
        <f>"05"</f>
        <v>05</v>
      </c>
      <c r="H1681" s="5">
        <v>68.1</v>
      </c>
      <c r="I1681" s="3"/>
    </row>
    <row r="1682" customHeight="1" spans="1:9">
      <c r="A1682" s="3" t="str">
        <f t="shared" si="161"/>
        <v>0106</v>
      </c>
      <c r="B1682" s="3" t="s">
        <v>20</v>
      </c>
      <c r="C1682" s="3" t="str">
        <f>"朱庭辉"</f>
        <v>朱庭辉</v>
      </c>
      <c r="D1682" s="3" t="str">
        <f t="shared" si="164"/>
        <v>男</v>
      </c>
      <c r="E1682" s="3" t="str">
        <f>"2507015806"</f>
        <v>2507015806</v>
      </c>
      <c r="F1682" s="3" t="str">
        <f t="shared" si="163"/>
        <v>58</v>
      </c>
      <c r="G1682" s="4" t="str">
        <f>"06"</f>
        <v>06</v>
      </c>
      <c r="H1682" s="5">
        <v>68.5</v>
      </c>
      <c r="I1682" s="3"/>
    </row>
    <row r="1683" customHeight="1" spans="1:9">
      <c r="A1683" s="3" t="str">
        <f t="shared" si="161"/>
        <v>0106</v>
      </c>
      <c r="B1683" s="3" t="s">
        <v>20</v>
      </c>
      <c r="C1683" s="3" t="str">
        <f>"卢宇"</f>
        <v>卢宇</v>
      </c>
      <c r="D1683" s="3" t="str">
        <f t="shared" si="164"/>
        <v>男</v>
      </c>
      <c r="E1683" s="3" t="str">
        <f>"2507015807"</f>
        <v>2507015807</v>
      </c>
      <c r="F1683" s="3" t="str">
        <f t="shared" si="163"/>
        <v>58</v>
      </c>
      <c r="G1683" s="4" t="str">
        <f>"07"</f>
        <v>07</v>
      </c>
      <c r="H1683" s="5">
        <v>79.2</v>
      </c>
      <c r="I1683" s="3"/>
    </row>
    <row r="1684" customHeight="1" spans="1:9">
      <c r="A1684" s="3" t="str">
        <f t="shared" si="161"/>
        <v>0106</v>
      </c>
      <c r="B1684" s="3" t="s">
        <v>20</v>
      </c>
      <c r="C1684" s="3" t="str">
        <f>"宋宁"</f>
        <v>宋宁</v>
      </c>
      <c r="D1684" s="3" t="str">
        <f t="shared" si="164"/>
        <v>男</v>
      </c>
      <c r="E1684" s="3" t="str">
        <f>"2507015808"</f>
        <v>2507015808</v>
      </c>
      <c r="F1684" s="3" t="str">
        <f t="shared" si="163"/>
        <v>58</v>
      </c>
      <c r="G1684" s="4" t="str">
        <f>"08"</f>
        <v>08</v>
      </c>
      <c r="H1684" s="5">
        <v>73.8</v>
      </c>
      <c r="I1684" s="3"/>
    </row>
    <row r="1685" customHeight="1" spans="1:9">
      <c r="A1685" s="3" t="str">
        <f t="shared" si="161"/>
        <v>0106</v>
      </c>
      <c r="B1685" s="3" t="s">
        <v>20</v>
      </c>
      <c r="C1685" s="3" t="str">
        <f>"李硕"</f>
        <v>李硕</v>
      </c>
      <c r="D1685" s="3" t="str">
        <f t="shared" si="164"/>
        <v>男</v>
      </c>
      <c r="E1685" s="3" t="str">
        <f>"2507015809"</f>
        <v>2507015809</v>
      </c>
      <c r="F1685" s="3" t="str">
        <f t="shared" si="163"/>
        <v>58</v>
      </c>
      <c r="G1685" s="4" t="str">
        <f>"09"</f>
        <v>09</v>
      </c>
      <c r="H1685" s="5">
        <v>78.3</v>
      </c>
      <c r="I1685" s="3"/>
    </row>
    <row r="1686" customHeight="1" spans="1:9">
      <c r="A1686" s="3" t="str">
        <f t="shared" si="161"/>
        <v>0106</v>
      </c>
      <c r="B1686" s="3" t="s">
        <v>20</v>
      </c>
      <c r="C1686" s="3" t="str">
        <f>"孙菁菁"</f>
        <v>孙菁菁</v>
      </c>
      <c r="D1686" s="3" t="str">
        <f>"女"</f>
        <v>女</v>
      </c>
      <c r="E1686" s="3" t="str">
        <f>"2507015810"</f>
        <v>2507015810</v>
      </c>
      <c r="F1686" s="3" t="str">
        <f t="shared" si="163"/>
        <v>58</v>
      </c>
      <c r="G1686" s="4" t="str">
        <f>"10"</f>
        <v>10</v>
      </c>
      <c r="H1686" s="5">
        <v>0</v>
      </c>
      <c r="I1686" s="3" t="s">
        <v>11</v>
      </c>
    </row>
    <row r="1687" customHeight="1" spans="1:9">
      <c r="A1687" s="3" t="str">
        <f t="shared" ref="A1687:A1750" si="165">"0106"</f>
        <v>0106</v>
      </c>
      <c r="B1687" s="3" t="s">
        <v>20</v>
      </c>
      <c r="C1687" s="3" t="str">
        <f>"张益铭"</f>
        <v>张益铭</v>
      </c>
      <c r="D1687" s="3" t="str">
        <f>"男"</f>
        <v>男</v>
      </c>
      <c r="E1687" s="3" t="str">
        <f>"2507015811"</f>
        <v>2507015811</v>
      </c>
      <c r="F1687" s="3" t="str">
        <f t="shared" si="163"/>
        <v>58</v>
      </c>
      <c r="G1687" s="4" t="str">
        <f>"11"</f>
        <v>11</v>
      </c>
      <c r="H1687" s="5">
        <v>70.4</v>
      </c>
      <c r="I1687" s="3"/>
    </row>
    <row r="1688" customHeight="1" spans="1:9">
      <c r="A1688" s="3" t="str">
        <f t="shared" si="165"/>
        <v>0106</v>
      </c>
      <c r="B1688" s="3" t="s">
        <v>20</v>
      </c>
      <c r="C1688" s="3" t="str">
        <f>"郑思睿"</f>
        <v>郑思睿</v>
      </c>
      <c r="D1688" s="3" t="str">
        <f>"女"</f>
        <v>女</v>
      </c>
      <c r="E1688" s="3" t="str">
        <f>"2507015812"</f>
        <v>2507015812</v>
      </c>
      <c r="F1688" s="3" t="str">
        <f t="shared" si="163"/>
        <v>58</v>
      </c>
      <c r="G1688" s="4" t="str">
        <f>"12"</f>
        <v>12</v>
      </c>
      <c r="H1688" s="5">
        <v>73.3</v>
      </c>
      <c r="I1688" s="3"/>
    </row>
    <row r="1689" customHeight="1" spans="1:9">
      <c r="A1689" s="3" t="str">
        <f t="shared" si="165"/>
        <v>0106</v>
      </c>
      <c r="B1689" s="3" t="s">
        <v>20</v>
      </c>
      <c r="C1689" s="3" t="str">
        <f>"马骁"</f>
        <v>马骁</v>
      </c>
      <c r="D1689" s="3" t="str">
        <f>"男"</f>
        <v>男</v>
      </c>
      <c r="E1689" s="3" t="str">
        <f>"2507015813"</f>
        <v>2507015813</v>
      </c>
      <c r="F1689" s="3" t="str">
        <f t="shared" si="163"/>
        <v>58</v>
      </c>
      <c r="G1689" s="4" t="str">
        <f>"13"</f>
        <v>13</v>
      </c>
      <c r="H1689" s="5">
        <v>82</v>
      </c>
      <c r="I1689" s="3"/>
    </row>
    <row r="1690" customHeight="1" spans="1:9">
      <c r="A1690" s="3" t="str">
        <f t="shared" si="165"/>
        <v>0106</v>
      </c>
      <c r="B1690" s="3" t="s">
        <v>20</v>
      </c>
      <c r="C1690" s="3" t="str">
        <f>"蔡耀"</f>
        <v>蔡耀</v>
      </c>
      <c r="D1690" s="3" t="str">
        <f>"男"</f>
        <v>男</v>
      </c>
      <c r="E1690" s="3" t="str">
        <f>"2507015814"</f>
        <v>2507015814</v>
      </c>
      <c r="F1690" s="3" t="str">
        <f t="shared" si="163"/>
        <v>58</v>
      </c>
      <c r="G1690" s="4" t="str">
        <f>"14"</f>
        <v>14</v>
      </c>
      <c r="H1690" s="5">
        <v>83.7</v>
      </c>
      <c r="I1690" s="3"/>
    </row>
    <row r="1691" customHeight="1" spans="1:9">
      <c r="A1691" s="3" t="str">
        <f t="shared" si="165"/>
        <v>0106</v>
      </c>
      <c r="B1691" s="3" t="s">
        <v>20</v>
      </c>
      <c r="C1691" s="3" t="str">
        <f>"徐信权"</f>
        <v>徐信权</v>
      </c>
      <c r="D1691" s="3" t="str">
        <f>"男"</f>
        <v>男</v>
      </c>
      <c r="E1691" s="3" t="str">
        <f>"2507015815"</f>
        <v>2507015815</v>
      </c>
      <c r="F1691" s="3" t="str">
        <f t="shared" si="163"/>
        <v>58</v>
      </c>
      <c r="G1691" s="4" t="str">
        <f>"15"</f>
        <v>15</v>
      </c>
      <c r="H1691" s="5">
        <v>60.7</v>
      </c>
      <c r="I1691" s="3"/>
    </row>
    <row r="1692" customHeight="1" spans="1:9">
      <c r="A1692" s="3" t="str">
        <f t="shared" si="165"/>
        <v>0106</v>
      </c>
      <c r="B1692" s="3" t="s">
        <v>20</v>
      </c>
      <c r="C1692" s="3" t="str">
        <f>"齐煜"</f>
        <v>齐煜</v>
      </c>
      <c r="D1692" s="3" t="str">
        <f>"女"</f>
        <v>女</v>
      </c>
      <c r="E1692" s="3" t="str">
        <f>"2507015816"</f>
        <v>2507015816</v>
      </c>
      <c r="F1692" s="3" t="str">
        <f t="shared" si="163"/>
        <v>58</v>
      </c>
      <c r="G1692" s="4" t="str">
        <f>"16"</f>
        <v>16</v>
      </c>
      <c r="H1692" s="5">
        <v>84.7</v>
      </c>
      <c r="I1692" s="3"/>
    </row>
    <row r="1693" customHeight="1" spans="1:9">
      <c r="A1693" s="3" t="str">
        <f t="shared" si="165"/>
        <v>0106</v>
      </c>
      <c r="B1693" s="3" t="s">
        <v>20</v>
      </c>
      <c r="C1693" s="3" t="str">
        <f>"姚五一"</f>
        <v>姚五一</v>
      </c>
      <c r="D1693" s="3" t="str">
        <f>"男"</f>
        <v>男</v>
      </c>
      <c r="E1693" s="3" t="str">
        <f>"2507015817"</f>
        <v>2507015817</v>
      </c>
      <c r="F1693" s="3" t="str">
        <f t="shared" si="163"/>
        <v>58</v>
      </c>
      <c r="G1693" s="4" t="str">
        <f>"17"</f>
        <v>17</v>
      </c>
      <c r="H1693" s="5">
        <v>80.4</v>
      </c>
      <c r="I1693" s="3"/>
    </row>
    <row r="1694" customHeight="1" spans="1:9">
      <c r="A1694" s="3" t="str">
        <f t="shared" si="165"/>
        <v>0106</v>
      </c>
      <c r="B1694" s="3" t="s">
        <v>20</v>
      </c>
      <c r="C1694" s="3" t="str">
        <f>"陈蝶"</f>
        <v>陈蝶</v>
      </c>
      <c r="D1694" s="3" t="str">
        <f>"女"</f>
        <v>女</v>
      </c>
      <c r="E1694" s="3" t="str">
        <f>"2507015818"</f>
        <v>2507015818</v>
      </c>
      <c r="F1694" s="3" t="str">
        <f t="shared" si="163"/>
        <v>58</v>
      </c>
      <c r="G1694" s="4" t="str">
        <f>"18"</f>
        <v>18</v>
      </c>
      <c r="H1694" s="5">
        <v>52.6</v>
      </c>
      <c r="I1694" s="3"/>
    </row>
    <row r="1695" customHeight="1" spans="1:9">
      <c r="A1695" s="3" t="str">
        <f t="shared" si="165"/>
        <v>0106</v>
      </c>
      <c r="B1695" s="3" t="s">
        <v>20</v>
      </c>
      <c r="C1695" s="3" t="str">
        <f>"王浩宇"</f>
        <v>王浩宇</v>
      </c>
      <c r="D1695" s="3" t="str">
        <f>"男"</f>
        <v>男</v>
      </c>
      <c r="E1695" s="3" t="str">
        <f>"2507015819"</f>
        <v>2507015819</v>
      </c>
      <c r="F1695" s="3" t="str">
        <f t="shared" si="163"/>
        <v>58</v>
      </c>
      <c r="G1695" s="4" t="str">
        <f>"19"</f>
        <v>19</v>
      </c>
      <c r="H1695" s="5">
        <v>63.6</v>
      </c>
      <c r="I1695" s="3"/>
    </row>
    <row r="1696" customHeight="1" spans="1:9">
      <c r="A1696" s="3" t="str">
        <f t="shared" si="165"/>
        <v>0106</v>
      </c>
      <c r="B1696" s="3" t="s">
        <v>20</v>
      </c>
      <c r="C1696" s="3" t="str">
        <f>"闵祥和"</f>
        <v>闵祥和</v>
      </c>
      <c r="D1696" s="3" t="str">
        <f>"男"</f>
        <v>男</v>
      </c>
      <c r="E1696" s="3" t="str">
        <f>"2507015820"</f>
        <v>2507015820</v>
      </c>
      <c r="F1696" s="3" t="str">
        <f t="shared" si="163"/>
        <v>58</v>
      </c>
      <c r="G1696" s="4" t="str">
        <f>"20"</f>
        <v>20</v>
      </c>
      <c r="H1696" s="5">
        <v>77.5</v>
      </c>
      <c r="I1696" s="3"/>
    </row>
    <row r="1697" customHeight="1" spans="1:9">
      <c r="A1697" s="3" t="str">
        <f t="shared" si="165"/>
        <v>0106</v>
      </c>
      <c r="B1697" s="3" t="s">
        <v>20</v>
      </c>
      <c r="C1697" s="3" t="str">
        <f>"王连奇"</f>
        <v>王连奇</v>
      </c>
      <c r="D1697" s="3" t="str">
        <f>"男"</f>
        <v>男</v>
      </c>
      <c r="E1697" s="3" t="str">
        <f>"2507015821"</f>
        <v>2507015821</v>
      </c>
      <c r="F1697" s="3" t="str">
        <f t="shared" si="163"/>
        <v>58</v>
      </c>
      <c r="G1697" s="4" t="str">
        <f>"21"</f>
        <v>21</v>
      </c>
      <c r="H1697" s="5">
        <v>0</v>
      </c>
      <c r="I1697" s="3" t="s">
        <v>11</v>
      </c>
    </row>
    <row r="1698" customHeight="1" spans="1:9">
      <c r="A1698" s="3" t="str">
        <f t="shared" si="165"/>
        <v>0106</v>
      </c>
      <c r="B1698" s="3" t="s">
        <v>20</v>
      </c>
      <c r="C1698" s="3" t="str">
        <f>"王宁"</f>
        <v>王宁</v>
      </c>
      <c r="D1698" s="3" t="str">
        <f>"男"</f>
        <v>男</v>
      </c>
      <c r="E1698" s="3" t="str">
        <f>"2507015822"</f>
        <v>2507015822</v>
      </c>
      <c r="F1698" s="3" t="str">
        <f t="shared" si="163"/>
        <v>58</v>
      </c>
      <c r="G1698" s="4" t="str">
        <f>"22"</f>
        <v>22</v>
      </c>
      <c r="H1698" s="5">
        <v>69</v>
      </c>
      <c r="I1698" s="3"/>
    </row>
    <row r="1699" customHeight="1" spans="1:9">
      <c r="A1699" s="3" t="str">
        <f t="shared" si="165"/>
        <v>0106</v>
      </c>
      <c r="B1699" s="3" t="s">
        <v>20</v>
      </c>
      <c r="C1699" s="3" t="str">
        <f>"支婉晴"</f>
        <v>支婉晴</v>
      </c>
      <c r="D1699" s="3" t="str">
        <f>"女"</f>
        <v>女</v>
      </c>
      <c r="E1699" s="3" t="str">
        <f>"2507015823"</f>
        <v>2507015823</v>
      </c>
      <c r="F1699" s="3" t="str">
        <f t="shared" si="163"/>
        <v>58</v>
      </c>
      <c r="G1699" s="4" t="str">
        <f>"23"</f>
        <v>23</v>
      </c>
      <c r="H1699" s="5">
        <v>0</v>
      </c>
      <c r="I1699" s="3" t="s">
        <v>11</v>
      </c>
    </row>
    <row r="1700" customHeight="1" spans="1:9">
      <c r="A1700" s="3" t="str">
        <f t="shared" si="165"/>
        <v>0106</v>
      </c>
      <c r="B1700" s="3" t="s">
        <v>20</v>
      </c>
      <c r="C1700" s="3" t="str">
        <f>"窦承春"</f>
        <v>窦承春</v>
      </c>
      <c r="D1700" s="3" t="str">
        <f>"女"</f>
        <v>女</v>
      </c>
      <c r="E1700" s="3" t="str">
        <f>"2507015824"</f>
        <v>2507015824</v>
      </c>
      <c r="F1700" s="3" t="str">
        <f t="shared" si="163"/>
        <v>58</v>
      </c>
      <c r="G1700" s="4" t="str">
        <f>"24"</f>
        <v>24</v>
      </c>
      <c r="H1700" s="5">
        <v>79.3</v>
      </c>
      <c r="I1700" s="3"/>
    </row>
    <row r="1701" customHeight="1" spans="1:9">
      <c r="A1701" s="3" t="str">
        <f t="shared" si="165"/>
        <v>0106</v>
      </c>
      <c r="B1701" s="3" t="s">
        <v>20</v>
      </c>
      <c r="C1701" s="3" t="str">
        <f>"王磊"</f>
        <v>王磊</v>
      </c>
      <c r="D1701" s="3" t="str">
        <f>"男"</f>
        <v>男</v>
      </c>
      <c r="E1701" s="3" t="str">
        <f>"2507015825"</f>
        <v>2507015825</v>
      </c>
      <c r="F1701" s="3" t="str">
        <f t="shared" si="163"/>
        <v>58</v>
      </c>
      <c r="G1701" s="4" t="str">
        <f>"25"</f>
        <v>25</v>
      </c>
      <c r="H1701" s="5">
        <v>59</v>
      </c>
      <c r="I1701" s="3"/>
    </row>
    <row r="1702" customHeight="1" spans="1:9">
      <c r="A1702" s="3" t="str">
        <f t="shared" si="165"/>
        <v>0106</v>
      </c>
      <c r="B1702" s="3" t="s">
        <v>20</v>
      </c>
      <c r="C1702" s="3" t="str">
        <f>"赵硕"</f>
        <v>赵硕</v>
      </c>
      <c r="D1702" s="3" t="str">
        <f>"女"</f>
        <v>女</v>
      </c>
      <c r="E1702" s="3" t="str">
        <f>"2507015826"</f>
        <v>2507015826</v>
      </c>
      <c r="F1702" s="3" t="str">
        <f t="shared" si="163"/>
        <v>58</v>
      </c>
      <c r="G1702" s="4" t="str">
        <f>"26"</f>
        <v>26</v>
      </c>
      <c r="H1702" s="5">
        <v>59.9</v>
      </c>
      <c r="I1702" s="3"/>
    </row>
    <row r="1703" customHeight="1" spans="1:9">
      <c r="A1703" s="3" t="str">
        <f t="shared" si="165"/>
        <v>0106</v>
      </c>
      <c r="B1703" s="3" t="s">
        <v>20</v>
      </c>
      <c r="C1703" s="3" t="str">
        <f>"徐振廷"</f>
        <v>徐振廷</v>
      </c>
      <c r="D1703" s="3" t="str">
        <f>"男"</f>
        <v>男</v>
      </c>
      <c r="E1703" s="3" t="str">
        <f>"2507015827"</f>
        <v>2507015827</v>
      </c>
      <c r="F1703" s="3" t="str">
        <f t="shared" si="163"/>
        <v>58</v>
      </c>
      <c r="G1703" s="4" t="str">
        <f>"27"</f>
        <v>27</v>
      </c>
      <c r="H1703" s="5">
        <v>0</v>
      </c>
      <c r="I1703" s="3" t="s">
        <v>11</v>
      </c>
    </row>
    <row r="1704" customHeight="1" spans="1:9">
      <c r="A1704" s="3" t="str">
        <f t="shared" si="165"/>
        <v>0106</v>
      </c>
      <c r="B1704" s="3" t="s">
        <v>20</v>
      </c>
      <c r="C1704" s="3" t="str">
        <f>"王涛"</f>
        <v>王涛</v>
      </c>
      <c r="D1704" s="3" t="str">
        <f>"女"</f>
        <v>女</v>
      </c>
      <c r="E1704" s="3" t="str">
        <f>"2507015828"</f>
        <v>2507015828</v>
      </c>
      <c r="F1704" s="3" t="str">
        <f t="shared" si="163"/>
        <v>58</v>
      </c>
      <c r="G1704" s="4" t="str">
        <f>"28"</f>
        <v>28</v>
      </c>
      <c r="H1704" s="5">
        <v>71.9</v>
      </c>
      <c r="I1704" s="3"/>
    </row>
    <row r="1705" customHeight="1" spans="1:9">
      <c r="A1705" s="3" t="str">
        <f t="shared" si="165"/>
        <v>0106</v>
      </c>
      <c r="B1705" s="3" t="s">
        <v>20</v>
      </c>
      <c r="C1705" s="3" t="str">
        <f>"李锦星"</f>
        <v>李锦星</v>
      </c>
      <c r="D1705" s="3" t="str">
        <f>"女"</f>
        <v>女</v>
      </c>
      <c r="E1705" s="3" t="str">
        <f>"2507015829"</f>
        <v>2507015829</v>
      </c>
      <c r="F1705" s="3" t="str">
        <f t="shared" si="163"/>
        <v>58</v>
      </c>
      <c r="G1705" s="4" t="str">
        <f>"29"</f>
        <v>29</v>
      </c>
      <c r="H1705" s="5">
        <v>65.8</v>
      </c>
      <c r="I1705" s="3"/>
    </row>
    <row r="1706" customHeight="1" spans="1:9">
      <c r="A1706" s="3" t="str">
        <f t="shared" si="165"/>
        <v>0106</v>
      </c>
      <c r="B1706" s="3" t="s">
        <v>20</v>
      </c>
      <c r="C1706" s="3" t="str">
        <f>"李尚峰"</f>
        <v>李尚峰</v>
      </c>
      <c r="D1706" s="3" t="str">
        <f>"男"</f>
        <v>男</v>
      </c>
      <c r="E1706" s="3" t="str">
        <f>"2507015830"</f>
        <v>2507015830</v>
      </c>
      <c r="F1706" s="3" t="str">
        <f t="shared" si="163"/>
        <v>58</v>
      </c>
      <c r="G1706" s="4" t="str">
        <f>"30"</f>
        <v>30</v>
      </c>
      <c r="H1706" s="5">
        <v>73.9</v>
      </c>
      <c r="I1706" s="3"/>
    </row>
    <row r="1707" customHeight="1" spans="1:9">
      <c r="A1707" s="3" t="str">
        <f t="shared" si="165"/>
        <v>0106</v>
      </c>
      <c r="B1707" s="3" t="s">
        <v>20</v>
      </c>
      <c r="C1707" s="3" t="str">
        <f>"郑露露"</f>
        <v>郑露露</v>
      </c>
      <c r="D1707" s="3" t="str">
        <f>"女"</f>
        <v>女</v>
      </c>
      <c r="E1707" s="3" t="str">
        <f>"2507015831"</f>
        <v>2507015831</v>
      </c>
      <c r="F1707" s="3" t="str">
        <f t="shared" si="163"/>
        <v>58</v>
      </c>
      <c r="G1707" s="4" t="str">
        <f>"31"</f>
        <v>31</v>
      </c>
      <c r="H1707" s="5">
        <v>0</v>
      </c>
      <c r="I1707" s="3" t="s">
        <v>11</v>
      </c>
    </row>
    <row r="1708" customHeight="1" spans="1:9">
      <c r="A1708" s="3" t="str">
        <f t="shared" si="165"/>
        <v>0106</v>
      </c>
      <c r="B1708" s="3" t="s">
        <v>20</v>
      </c>
      <c r="C1708" s="3" t="str">
        <f>"王伟"</f>
        <v>王伟</v>
      </c>
      <c r="D1708" s="3" t="str">
        <f>"女"</f>
        <v>女</v>
      </c>
      <c r="E1708" s="3" t="str">
        <f>"2507015901"</f>
        <v>2507015901</v>
      </c>
      <c r="F1708" s="3" t="str">
        <f t="shared" ref="F1708:F1738" si="166">"59"</f>
        <v>59</v>
      </c>
      <c r="G1708" s="4" t="str">
        <f>"01"</f>
        <v>01</v>
      </c>
      <c r="H1708" s="5">
        <v>71.5</v>
      </c>
      <c r="I1708" s="3"/>
    </row>
    <row r="1709" customHeight="1" spans="1:9">
      <c r="A1709" s="3" t="str">
        <f t="shared" si="165"/>
        <v>0106</v>
      </c>
      <c r="B1709" s="3" t="s">
        <v>20</v>
      </c>
      <c r="C1709" s="3" t="str">
        <f>"姜兆锐"</f>
        <v>姜兆锐</v>
      </c>
      <c r="D1709" s="3" t="str">
        <f>"男"</f>
        <v>男</v>
      </c>
      <c r="E1709" s="3" t="str">
        <f>"2507015902"</f>
        <v>2507015902</v>
      </c>
      <c r="F1709" s="3" t="str">
        <f t="shared" si="166"/>
        <v>59</v>
      </c>
      <c r="G1709" s="4" t="str">
        <f>"02"</f>
        <v>02</v>
      </c>
      <c r="H1709" s="5">
        <v>0</v>
      </c>
      <c r="I1709" s="3" t="s">
        <v>11</v>
      </c>
    </row>
    <row r="1710" customHeight="1" spans="1:9">
      <c r="A1710" s="3" t="str">
        <f t="shared" si="165"/>
        <v>0106</v>
      </c>
      <c r="B1710" s="3" t="s">
        <v>20</v>
      </c>
      <c r="C1710" s="3" t="str">
        <f>"蒋多多"</f>
        <v>蒋多多</v>
      </c>
      <c r="D1710" s="3" t="str">
        <f>"女"</f>
        <v>女</v>
      </c>
      <c r="E1710" s="3" t="str">
        <f>"2507015903"</f>
        <v>2507015903</v>
      </c>
      <c r="F1710" s="3" t="str">
        <f t="shared" si="166"/>
        <v>59</v>
      </c>
      <c r="G1710" s="4" t="str">
        <f>"03"</f>
        <v>03</v>
      </c>
      <c r="H1710" s="5">
        <v>68.5</v>
      </c>
      <c r="I1710" s="3"/>
    </row>
    <row r="1711" customHeight="1" spans="1:9">
      <c r="A1711" s="3" t="str">
        <f t="shared" si="165"/>
        <v>0106</v>
      </c>
      <c r="B1711" s="3" t="s">
        <v>20</v>
      </c>
      <c r="C1711" s="3" t="str">
        <f>"王宁"</f>
        <v>王宁</v>
      </c>
      <c r="D1711" s="3" t="str">
        <f>"男"</f>
        <v>男</v>
      </c>
      <c r="E1711" s="3" t="str">
        <f>"2507015904"</f>
        <v>2507015904</v>
      </c>
      <c r="F1711" s="3" t="str">
        <f t="shared" si="166"/>
        <v>59</v>
      </c>
      <c r="G1711" s="4" t="str">
        <f>"04"</f>
        <v>04</v>
      </c>
      <c r="H1711" s="5">
        <v>55.2</v>
      </c>
      <c r="I1711" s="3"/>
    </row>
    <row r="1712" customHeight="1" spans="1:9">
      <c r="A1712" s="3" t="str">
        <f t="shared" si="165"/>
        <v>0106</v>
      </c>
      <c r="B1712" s="3" t="s">
        <v>20</v>
      </c>
      <c r="C1712" s="3" t="str">
        <f>"申传宇"</f>
        <v>申传宇</v>
      </c>
      <c r="D1712" s="3" t="str">
        <f>"男"</f>
        <v>男</v>
      </c>
      <c r="E1712" s="3" t="str">
        <f>"2507015905"</f>
        <v>2507015905</v>
      </c>
      <c r="F1712" s="3" t="str">
        <f t="shared" si="166"/>
        <v>59</v>
      </c>
      <c r="G1712" s="4" t="str">
        <f>"05"</f>
        <v>05</v>
      </c>
      <c r="H1712" s="5">
        <v>61.4</v>
      </c>
      <c r="I1712" s="3"/>
    </row>
    <row r="1713" customHeight="1" spans="1:9">
      <c r="A1713" s="3" t="str">
        <f t="shared" si="165"/>
        <v>0106</v>
      </c>
      <c r="B1713" s="3" t="s">
        <v>20</v>
      </c>
      <c r="C1713" s="3" t="str">
        <f>"王珍"</f>
        <v>王珍</v>
      </c>
      <c r="D1713" s="3" t="str">
        <f>"女"</f>
        <v>女</v>
      </c>
      <c r="E1713" s="3" t="str">
        <f>"2507015906"</f>
        <v>2507015906</v>
      </c>
      <c r="F1713" s="3" t="str">
        <f t="shared" si="166"/>
        <v>59</v>
      </c>
      <c r="G1713" s="4" t="str">
        <f>"06"</f>
        <v>06</v>
      </c>
      <c r="H1713" s="5">
        <v>73.2</v>
      </c>
      <c r="I1713" s="3"/>
    </row>
    <row r="1714" customHeight="1" spans="1:9">
      <c r="A1714" s="3" t="str">
        <f t="shared" si="165"/>
        <v>0106</v>
      </c>
      <c r="B1714" s="3" t="s">
        <v>20</v>
      </c>
      <c r="C1714" s="3" t="str">
        <f>"陈都卫"</f>
        <v>陈都卫</v>
      </c>
      <c r="D1714" s="3" t="str">
        <f>"男"</f>
        <v>男</v>
      </c>
      <c r="E1714" s="3" t="str">
        <f>"2507015907"</f>
        <v>2507015907</v>
      </c>
      <c r="F1714" s="3" t="str">
        <f t="shared" si="166"/>
        <v>59</v>
      </c>
      <c r="G1714" s="4" t="str">
        <f>"07"</f>
        <v>07</v>
      </c>
      <c r="H1714" s="5">
        <v>65.4</v>
      </c>
      <c r="I1714" s="3"/>
    </row>
    <row r="1715" customHeight="1" spans="1:9">
      <c r="A1715" s="3" t="str">
        <f t="shared" si="165"/>
        <v>0106</v>
      </c>
      <c r="B1715" s="3" t="s">
        <v>20</v>
      </c>
      <c r="C1715" s="3" t="str">
        <f>"张胜丹"</f>
        <v>张胜丹</v>
      </c>
      <c r="D1715" s="3" t="str">
        <f>"男"</f>
        <v>男</v>
      </c>
      <c r="E1715" s="3" t="str">
        <f>"2507015908"</f>
        <v>2507015908</v>
      </c>
      <c r="F1715" s="3" t="str">
        <f t="shared" si="166"/>
        <v>59</v>
      </c>
      <c r="G1715" s="4" t="str">
        <f>"08"</f>
        <v>08</v>
      </c>
      <c r="H1715" s="5">
        <v>71.1</v>
      </c>
      <c r="I1715" s="3"/>
    </row>
    <row r="1716" customHeight="1" spans="1:9">
      <c r="A1716" s="3" t="str">
        <f t="shared" si="165"/>
        <v>0106</v>
      </c>
      <c r="B1716" s="3" t="s">
        <v>20</v>
      </c>
      <c r="C1716" s="3" t="str">
        <f>"卫星兰"</f>
        <v>卫星兰</v>
      </c>
      <c r="D1716" s="3" t="str">
        <f>"女"</f>
        <v>女</v>
      </c>
      <c r="E1716" s="3" t="str">
        <f>"2507015909"</f>
        <v>2507015909</v>
      </c>
      <c r="F1716" s="3" t="str">
        <f t="shared" si="166"/>
        <v>59</v>
      </c>
      <c r="G1716" s="4" t="str">
        <f>"09"</f>
        <v>09</v>
      </c>
      <c r="H1716" s="5">
        <v>0</v>
      </c>
      <c r="I1716" s="3" t="s">
        <v>11</v>
      </c>
    </row>
    <row r="1717" customHeight="1" spans="1:9">
      <c r="A1717" s="3" t="str">
        <f t="shared" si="165"/>
        <v>0106</v>
      </c>
      <c r="B1717" s="3" t="s">
        <v>20</v>
      </c>
      <c r="C1717" s="3" t="str">
        <f>"葛晟源"</f>
        <v>葛晟源</v>
      </c>
      <c r="D1717" s="3" t="str">
        <f>"男"</f>
        <v>男</v>
      </c>
      <c r="E1717" s="3" t="str">
        <f>"2507015910"</f>
        <v>2507015910</v>
      </c>
      <c r="F1717" s="3" t="str">
        <f t="shared" si="166"/>
        <v>59</v>
      </c>
      <c r="G1717" s="4" t="str">
        <f>"10"</f>
        <v>10</v>
      </c>
      <c r="H1717" s="5">
        <v>0</v>
      </c>
      <c r="I1717" s="3" t="s">
        <v>11</v>
      </c>
    </row>
    <row r="1718" customHeight="1" spans="1:9">
      <c r="A1718" s="3" t="str">
        <f t="shared" si="165"/>
        <v>0106</v>
      </c>
      <c r="B1718" s="3" t="s">
        <v>20</v>
      </c>
      <c r="C1718" s="3" t="str">
        <f>"范君如"</f>
        <v>范君如</v>
      </c>
      <c r="D1718" s="3" t="str">
        <f>"女"</f>
        <v>女</v>
      </c>
      <c r="E1718" s="3" t="str">
        <f>"2507015911"</f>
        <v>2507015911</v>
      </c>
      <c r="F1718" s="3" t="str">
        <f t="shared" si="166"/>
        <v>59</v>
      </c>
      <c r="G1718" s="4" t="str">
        <f>"11"</f>
        <v>11</v>
      </c>
      <c r="H1718" s="5">
        <v>86.2</v>
      </c>
      <c r="I1718" s="3"/>
    </row>
    <row r="1719" customHeight="1" spans="1:9">
      <c r="A1719" s="3" t="str">
        <f t="shared" si="165"/>
        <v>0106</v>
      </c>
      <c r="B1719" s="3" t="s">
        <v>20</v>
      </c>
      <c r="C1719" s="3" t="str">
        <f>"刘洋"</f>
        <v>刘洋</v>
      </c>
      <c r="D1719" s="3" t="str">
        <f>"男"</f>
        <v>男</v>
      </c>
      <c r="E1719" s="3" t="str">
        <f>"2507015912"</f>
        <v>2507015912</v>
      </c>
      <c r="F1719" s="3" t="str">
        <f t="shared" si="166"/>
        <v>59</v>
      </c>
      <c r="G1719" s="4" t="str">
        <f>"12"</f>
        <v>12</v>
      </c>
      <c r="H1719" s="5">
        <v>0</v>
      </c>
      <c r="I1719" s="3" t="s">
        <v>11</v>
      </c>
    </row>
    <row r="1720" customHeight="1" spans="1:9">
      <c r="A1720" s="3" t="str">
        <f t="shared" si="165"/>
        <v>0106</v>
      </c>
      <c r="B1720" s="3" t="s">
        <v>20</v>
      </c>
      <c r="C1720" s="3" t="str">
        <f>"孙琦涵"</f>
        <v>孙琦涵</v>
      </c>
      <c r="D1720" s="3" t="str">
        <f>"男"</f>
        <v>男</v>
      </c>
      <c r="E1720" s="3" t="str">
        <f>"2507015913"</f>
        <v>2507015913</v>
      </c>
      <c r="F1720" s="3" t="str">
        <f t="shared" si="166"/>
        <v>59</v>
      </c>
      <c r="G1720" s="4" t="str">
        <f>"13"</f>
        <v>13</v>
      </c>
      <c r="H1720" s="5">
        <v>71.3</v>
      </c>
      <c r="I1720" s="3"/>
    </row>
    <row r="1721" customHeight="1" spans="1:9">
      <c r="A1721" s="3" t="str">
        <f t="shared" si="165"/>
        <v>0106</v>
      </c>
      <c r="B1721" s="3" t="s">
        <v>20</v>
      </c>
      <c r="C1721" s="3" t="str">
        <f>"于绪鸿"</f>
        <v>于绪鸿</v>
      </c>
      <c r="D1721" s="3" t="str">
        <f>"男"</f>
        <v>男</v>
      </c>
      <c r="E1721" s="3" t="str">
        <f>"2507015914"</f>
        <v>2507015914</v>
      </c>
      <c r="F1721" s="3" t="str">
        <f t="shared" si="166"/>
        <v>59</v>
      </c>
      <c r="G1721" s="4" t="str">
        <f>"14"</f>
        <v>14</v>
      </c>
      <c r="H1721" s="5">
        <v>0</v>
      </c>
      <c r="I1721" s="3" t="s">
        <v>11</v>
      </c>
    </row>
    <row r="1722" customHeight="1" spans="1:9">
      <c r="A1722" s="3" t="str">
        <f t="shared" si="165"/>
        <v>0106</v>
      </c>
      <c r="B1722" s="3" t="s">
        <v>20</v>
      </c>
      <c r="C1722" s="3" t="str">
        <f>"邹连熠"</f>
        <v>邹连熠</v>
      </c>
      <c r="D1722" s="3" t="str">
        <f>"男"</f>
        <v>男</v>
      </c>
      <c r="E1722" s="3" t="str">
        <f>"2507015915"</f>
        <v>2507015915</v>
      </c>
      <c r="F1722" s="3" t="str">
        <f t="shared" si="166"/>
        <v>59</v>
      </c>
      <c r="G1722" s="4" t="str">
        <f>"15"</f>
        <v>15</v>
      </c>
      <c r="H1722" s="5">
        <v>0</v>
      </c>
      <c r="I1722" s="3" t="s">
        <v>11</v>
      </c>
    </row>
    <row r="1723" customHeight="1" spans="1:9">
      <c r="A1723" s="3" t="str">
        <f t="shared" si="165"/>
        <v>0106</v>
      </c>
      <c r="B1723" s="3" t="s">
        <v>20</v>
      </c>
      <c r="C1723" s="3" t="str">
        <f>"李玉文"</f>
        <v>李玉文</v>
      </c>
      <c r="D1723" s="3" t="str">
        <f>"女"</f>
        <v>女</v>
      </c>
      <c r="E1723" s="3" t="str">
        <f>"2507015916"</f>
        <v>2507015916</v>
      </c>
      <c r="F1723" s="3" t="str">
        <f t="shared" si="166"/>
        <v>59</v>
      </c>
      <c r="G1723" s="4" t="str">
        <f>"16"</f>
        <v>16</v>
      </c>
      <c r="H1723" s="5">
        <v>0</v>
      </c>
      <c r="I1723" s="3" t="s">
        <v>11</v>
      </c>
    </row>
    <row r="1724" customHeight="1" spans="1:9">
      <c r="A1724" s="3" t="str">
        <f t="shared" si="165"/>
        <v>0106</v>
      </c>
      <c r="B1724" s="3" t="s">
        <v>20</v>
      </c>
      <c r="C1724" s="3" t="str">
        <f>"周贵勇"</f>
        <v>周贵勇</v>
      </c>
      <c r="D1724" s="3" t="str">
        <f>"男"</f>
        <v>男</v>
      </c>
      <c r="E1724" s="3" t="str">
        <f>"2507015917"</f>
        <v>2507015917</v>
      </c>
      <c r="F1724" s="3" t="str">
        <f t="shared" si="166"/>
        <v>59</v>
      </c>
      <c r="G1724" s="4" t="str">
        <f>"17"</f>
        <v>17</v>
      </c>
      <c r="H1724" s="5">
        <v>74.3</v>
      </c>
      <c r="I1724" s="3"/>
    </row>
    <row r="1725" customHeight="1" spans="1:9">
      <c r="A1725" s="3" t="str">
        <f t="shared" si="165"/>
        <v>0106</v>
      </c>
      <c r="B1725" s="3" t="s">
        <v>20</v>
      </c>
      <c r="C1725" s="3" t="str">
        <f>"王鹤"</f>
        <v>王鹤</v>
      </c>
      <c r="D1725" s="3" t="str">
        <f>"男"</f>
        <v>男</v>
      </c>
      <c r="E1725" s="3" t="str">
        <f>"2507015918"</f>
        <v>2507015918</v>
      </c>
      <c r="F1725" s="3" t="str">
        <f t="shared" si="166"/>
        <v>59</v>
      </c>
      <c r="G1725" s="4" t="str">
        <f>"18"</f>
        <v>18</v>
      </c>
      <c r="H1725" s="5">
        <v>60.7</v>
      </c>
      <c r="I1725" s="3"/>
    </row>
    <row r="1726" customHeight="1" spans="1:9">
      <c r="A1726" s="3" t="str">
        <f t="shared" si="165"/>
        <v>0106</v>
      </c>
      <c r="B1726" s="3" t="s">
        <v>20</v>
      </c>
      <c r="C1726" s="3" t="str">
        <f>"高凌燕"</f>
        <v>高凌燕</v>
      </c>
      <c r="D1726" s="3" t="str">
        <f>"女"</f>
        <v>女</v>
      </c>
      <c r="E1726" s="3" t="str">
        <f>"2507015919"</f>
        <v>2507015919</v>
      </c>
      <c r="F1726" s="3" t="str">
        <f t="shared" si="166"/>
        <v>59</v>
      </c>
      <c r="G1726" s="4" t="str">
        <f>"19"</f>
        <v>19</v>
      </c>
      <c r="H1726" s="5">
        <v>0</v>
      </c>
      <c r="I1726" s="3" t="s">
        <v>11</v>
      </c>
    </row>
    <row r="1727" customHeight="1" spans="1:9">
      <c r="A1727" s="3" t="str">
        <f t="shared" si="165"/>
        <v>0106</v>
      </c>
      <c r="B1727" s="3" t="s">
        <v>20</v>
      </c>
      <c r="C1727" s="3" t="str">
        <f>"徐路阳"</f>
        <v>徐路阳</v>
      </c>
      <c r="D1727" s="3" t="str">
        <f>"男"</f>
        <v>男</v>
      </c>
      <c r="E1727" s="3" t="str">
        <f>"2507015920"</f>
        <v>2507015920</v>
      </c>
      <c r="F1727" s="3" t="str">
        <f t="shared" si="166"/>
        <v>59</v>
      </c>
      <c r="G1727" s="4" t="str">
        <f>"20"</f>
        <v>20</v>
      </c>
      <c r="H1727" s="5">
        <v>0</v>
      </c>
      <c r="I1727" s="3" t="s">
        <v>11</v>
      </c>
    </row>
    <row r="1728" customHeight="1" spans="1:9">
      <c r="A1728" s="3" t="str">
        <f t="shared" si="165"/>
        <v>0106</v>
      </c>
      <c r="B1728" s="3" t="s">
        <v>20</v>
      </c>
      <c r="C1728" s="3" t="str">
        <f>"王雪"</f>
        <v>王雪</v>
      </c>
      <c r="D1728" s="3" t="str">
        <f>"女"</f>
        <v>女</v>
      </c>
      <c r="E1728" s="3" t="str">
        <f>"2507015921"</f>
        <v>2507015921</v>
      </c>
      <c r="F1728" s="3" t="str">
        <f t="shared" si="166"/>
        <v>59</v>
      </c>
      <c r="G1728" s="4" t="str">
        <f>"21"</f>
        <v>21</v>
      </c>
      <c r="H1728" s="5">
        <v>54.8</v>
      </c>
      <c r="I1728" s="3"/>
    </row>
    <row r="1729" customHeight="1" spans="1:9">
      <c r="A1729" s="3" t="str">
        <f t="shared" si="165"/>
        <v>0106</v>
      </c>
      <c r="B1729" s="3" t="s">
        <v>20</v>
      </c>
      <c r="C1729" s="3" t="str">
        <f>"高万里"</f>
        <v>高万里</v>
      </c>
      <c r="D1729" s="3" t="str">
        <f>"男"</f>
        <v>男</v>
      </c>
      <c r="E1729" s="3" t="str">
        <f>"2507015922"</f>
        <v>2507015922</v>
      </c>
      <c r="F1729" s="3" t="str">
        <f t="shared" si="166"/>
        <v>59</v>
      </c>
      <c r="G1729" s="4" t="str">
        <f>"22"</f>
        <v>22</v>
      </c>
      <c r="H1729" s="5">
        <v>79.1</v>
      </c>
      <c r="I1729" s="3"/>
    </row>
    <row r="1730" customHeight="1" spans="1:9">
      <c r="A1730" s="3" t="str">
        <f t="shared" si="165"/>
        <v>0106</v>
      </c>
      <c r="B1730" s="3" t="s">
        <v>20</v>
      </c>
      <c r="C1730" s="3" t="str">
        <f>"马展"</f>
        <v>马展</v>
      </c>
      <c r="D1730" s="3" t="str">
        <f>"男"</f>
        <v>男</v>
      </c>
      <c r="E1730" s="3" t="str">
        <f>"2507015923"</f>
        <v>2507015923</v>
      </c>
      <c r="F1730" s="3" t="str">
        <f t="shared" si="166"/>
        <v>59</v>
      </c>
      <c r="G1730" s="4" t="str">
        <f>"23"</f>
        <v>23</v>
      </c>
      <c r="H1730" s="5">
        <v>0</v>
      </c>
      <c r="I1730" s="3" t="s">
        <v>11</v>
      </c>
    </row>
    <row r="1731" customHeight="1" spans="1:9">
      <c r="A1731" s="3" t="str">
        <f t="shared" si="165"/>
        <v>0106</v>
      </c>
      <c r="B1731" s="3" t="s">
        <v>20</v>
      </c>
      <c r="C1731" s="3" t="str">
        <f>"张鹏"</f>
        <v>张鹏</v>
      </c>
      <c r="D1731" s="3" t="str">
        <f>"男"</f>
        <v>男</v>
      </c>
      <c r="E1731" s="3" t="str">
        <f>"2507015924"</f>
        <v>2507015924</v>
      </c>
      <c r="F1731" s="3" t="str">
        <f t="shared" si="166"/>
        <v>59</v>
      </c>
      <c r="G1731" s="4" t="str">
        <f>"24"</f>
        <v>24</v>
      </c>
      <c r="H1731" s="5">
        <v>67.4</v>
      </c>
      <c r="I1731" s="3"/>
    </row>
    <row r="1732" customHeight="1" spans="1:9">
      <c r="A1732" s="3" t="str">
        <f t="shared" si="165"/>
        <v>0106</v>
      </c>
      <c r="B1732" s="3" t="s">
        <v>20</v>
      </c>
      <c r="C1732" s="3" t="str">
        <f>"王敬棠"</f>
        <v>王敬棠</v>
      </c>
      <c r="D1732" s="3" t="str">
        <f>"男"</f>
        <v>男</v>
      </c>
      <c r="E1732" s="3" t="str">
        <f>"2507015925"</f>
        <v>2507015925</v>
      </c>
      <c r="F1732" s="3" t="str">
        <f t="shared" si="166"/>
        <v>59</v>
      </c>
      <c r="G1732" s="4" t="str">
        <f>"25"</f>
        <v>25</v>
      </c>
      <c r="H1732" s="5">
        <v>49.3</v>
      </c>
      <c r="I1732" s="3"/>
    </row>
    <row r="1733" customHeight="1" spans="1:9">
      <c r="A1733" s="3" t="str">
        <f t="shared" si="165"/>
        <v>0106</v>
      </c>
      <c r="B1733" s="3" t="s">
        <v>20</v>
      </c>
      <c r="C1733" s="3" t="str">
        <f>"张将"</f>
        <v>张将</v>
      </c>
      <c r="D1733" s="3" t="str">
        <f>"男"</f>
        <v>男</v>
      </c>
      <c r="E1733" s="3" t="str">
        <f>"2507015926"</f>
        <v>2507015926</v>
      </c>
      <c r="F1733" s="3" t="str">
        <f t="shared" si="166"/>
        <v>59</v>
      </c>
      <c r="G1733" s="4" t="str">
        <f>"26"</f>
        <v>26</v>
      </c>
      <c r="H1733" s="5">
        <v>0</v>
      </c>
      <c r="I1733" s="3" t="s">
        <v>11</v>
      </c>
    </row>
    <row r="1734" customHeight="1" spans="1:9">
      <c r="A1734" s="3" t="str">
        <f t="shared" si="165"/>
        <v>0106</v>
      </c>
      <c r="B1734" s="3" t="s">
        <v>20</v>
      </c>
      <c r="C1734" s="3" t="str">
        <f>"魏薪玉"</f>
        <v>魏薪玉</v>
      </c>
      <c r="D1734" s="3" t="str">
        <f>"女"</f>
        <v>女</v>
      </c>
      <c r="E1734" s="3" t="str">
        <f>"2507015927"</f>
        <v>2507015927</v>
      </c>
      <c r="F1734" s="3" t="str">
        <f t="shared" si="166"/>
        <v>59</v>
      </c>
      <c r="G1734" s="4" t="str">
        <f>"27"</f>
        <v>27</v>
      </c>
      <c r="H1734" s="5">
        <v>67</v>
      </c>
      <c r="I1734" s="3"/>
    </row>
    <row r="1735" customHeight="1" spans="1:9">
      <c r="A1735" s="3" t="str">
        <f t="shared" si="165"/>
        <v>0106</v>
      </c>
      <c r="B1735" s="3" t="s">
        <v>20</v>
      </c>
      <c r="C1735" s="3" t="str">
        <f>"闫明"</f>
        <v>闫明</v>
      </c>
      <c r="D1735" s="3" t="str">
        <f>"男"</f>
        <v>男</v>
      </c>
      <c r="E1735" s="3" t="str">
        <f>"2507015928"</f>
        <v>2507015928</v>
      </c>
      <c r="F1735" s="3" t="str">
        <f t="shared" si="166"/>
        <v>59</v>
      </c>
      <c r="G1735" s="4" t="str">
        <f>"28"</f>
        <v>28</v>
      </c>
      <c r="H1735" s="5">
        <v>71.7</v>
      </c>
      <c r="I1735" s="3"/>
    </row>
    <row r="1736" customHeight="1" spans="1:9">
      <c r="A1736" s="3" t="str">
        <f t="shared" si="165"/>
        <v>0106</v>
      </c>
      <c r="B1736" s="3" t="s">
        <v>20</v>
      </c>
      <c r="C1736" s="3" t="str">
        <f>"解海冬"</f>
        <v>解海冬</v>
      </c>
      <c r="D1736" s="3" t="str">
        <f>"男"</f>
        <v>男</v>
      </c>
      <c r="E1736" s="3" t="str">
        <f>"2507015929"</f>
        <v>2507015929</v>
      </c>
      <c r="F1736" s="3" t="str">
        <f t="shared" si="166"/>
        <v>59</v>
      </c>
      <c r="G1736" s="4" t="str">
        <f>"29"</f>
        <v>29</v>
      </c>
      <c r="H1736" s="5">
        <v>0</v>
      </c>
      <c r="I1736" s="3" t="s">
        <v>11</v>
      </c>
    </row>
    <row r="1737" customHeight="1" spans="1:9">
      <c r="A1737" s="3" t="str">
        <f t="shared" si="165"/>
        <v>0106</v>
      </c>
      <c r="B1737" s="3" t="s">
        <v>20</v>
      </c>
      <c r="C1737" s="3" t="str">
        <f>"王娇娇"</f>
        <v>王娇娇</v>
      </c>
      <c r="D1737" s="3" t="str">
        <f>"女"</f>
        <v>女</v>
      </c>
      <c r="E1737" s="3" t="str">
        <f>"2507015930"</f>
        <v>2507015930</v>
      </c>
      <c r="F1737" s="3" t="str">
        <f t="shared" si="166"/>
        <v>59</v>
      </c>
      <c r="G1737" s="4" t="str">
        <f>"30"</f>
        <v>30</v>
      </c>
      <c r="H1737" s="5">
        <v>0</v>
      </c>
      <c r="I1737" s="3" t="s">
        <v>11</v>
      </c>
    </row>
    <row r="1738" customHeight="1" spans="1:9">
      <c r="A1738" s="3" t="str">
        <f t="shared" si="165"/>
        <v>0106</v>
      </c>
      <c r="B1738" s="3" t="s">
        <v>20</v>
      </c>
      <c r="C1738" s="3" t="str">
        <f>"闻吉星"</f>
        <v>闻吉星</v>
      </c>
      <c r="D1738" s="3" t="str">
        <f>"男"</f>
        <v>男</v>
      </c>
      <c r="E1738" s="3" t="str">
        <f>"2507015931"</f>
        <v>2507015931</v>
      </c>
      <c r="F1738" s="3" t="str">
        <f t="shared" si="166"/>
        <v>59</v>
      </c>
      <c r="G1738" s="4" t="str">
        <f>"31"</f>
        <v>31</v>
      </c>
      <c r="H1738" s="5">
        <v>0</v>
      </c>
      <c r="I1738" s="3" t="s">
        <v>11</v>
      </c>
    </row>
    <row r="1739" customHeight="1" spans="1:9">
      <c r="A1739" s="3" t="str">
        <f t="shared" si="165"/>
        <v>0106</v>
      </c>
      <c r="B1739" s="3" t="s">
        <v>20</v>
      </c>
      <c r="C1739" s="3" t="str">
        <f>"许书豪"</f>
        <v>许书豪</v>
      </c>
      <c r="D1739" s="3" t="str">
        <f>"男"</f>
        <v>男</v>
      </c>
      <c r="E1739" s="3" t="str">
        <f>"2507016001"</f>
        <v>2507016001</v>
      </c>
      <c r="F1739" s="3" t="str">
        <f t="shared" ref="F1739:F1769" si="167">"60"</f>
        <v>60</v>
      </c>
      <c r="G1739" s="4" t="str">
        <f>"01"</f>
        <v>01</v>
      </c>
      <c r="H1739" s="5">
        <v>70</v>
      </c>
      <c r="I1739" s="3"/>
    </row>
    <row r="1740" customHeight="1" spans="1:9">
      <c r="A1740" s="3" t="str">
        <f t="shared" si="165"/>
        <v>0106</v>
      </c>
      <c r="B1740" s="3" t="s">
        <v>20</v>
      </c>
      <c r="C1740" s="3" t="str">
        <f>"刘国庆"</f>
        <v>刘国庆</v>
      </c>
      <c r="D1740" s="3" t="str">
        <f>"男"</f>
        <v>男</v>
      </c>
      <c r="E1740" s="3" t="str">
        <f>"2507016002"</f>
        <v>2507016002</v>
      </c>
      <c r="F1740" s="3" t="str">
        <f t="shared" si="167"/>
        <v>60</v>
      </c>
      <c r="G1740" s="4" t="str">
        <f>"02"</f>
        <v>02</v>
      </c>
      <c r="H1740" s="5">
        <v>0</v>
      </c>
      <c r="I1740" s="3" t="s">
        <v>11</v>
      </c>
    </row>
    <row r="1741" customHeight="1" spans="1:9">
      <c r="A1741" s="3" t="str">
        <f t="shared" si="165"/>
        <v>0106</v>
      </c>
      <c r="B1741" s="3" t="s">
        <v>20</v>
      </c>
      <c r="C1741" s="3" t="str">
        <f>"袁晨晨"</f>
        <v>袁晨晨</v>
      </c>
      <c r="D1741" s="3" t="str">
        <f>"女"</f>
        <v>女</v>
      </c>
      <c r="E1741" s="3" t="str">
        <f>"2507016003"</f>
        <v>2507016003</v>
      </c>
      <c r="F1741" s="3" t="str">
        <f t="shared" si="167"/>
        <v>60</v>
      </c>
      <c r="G1741" s="4" t="str">
        <f>"03"</f>
        <v>03</v>
      </c>
      <c r="H1741" s="5">
        <v>68.6</v>
      </c>
      <c r="I1741" s="3"/>
    </row>
    <row r="1742" customHeight="1" spans="1:9">
      <c r="A1742" s="3" t="str">
        <f t="shared" si="165"/>
        <v>0106</v>
      </c>
      <c r="B1742" s="3" t="s">
        <v>20</v>
      </c>
      <c r="C1742" s="3" t="str">
        <f>"顾玥"</f>
        <v>顾玥</v>
      </c>
      <c r="D1742" s="3" t="str">
        <f>"女"</f>
        <v>女</v>
      </c>
      <c r="E1742" s="3" t="str">
        <f>"2507016004"</f>
        <v>2507016004</v>
      </c>
      <c r="F1742" s="3" t="str">
        <f t="shared" si="167"/>
        <v>60</v>
      </c>
      <c r="G1742" s="4" t="str">
        <f>"04"</f>
        <v>04</v>
      </c>
      <c r="H1742" s="5">
        <v>0</v>
      </c>
      <c r="I1742" s="3" t="s">
        <v>11</v>
      </c>
    </row>
    <row r="1743" customHeight="1" spans="1:9">
      <c r="A1743" s="3" t="str">
        <f t="shared" si="165"/>
        <v>0106</v>
      </c>
      <c r="B1743" s="3" t="s">
        <v>20</v>
      </c>
      <c r="C1743" s="3" t="str">
        <f>"禚译鸿"</f>
        <v>禚译鸿</v>
      </c>
      <c r="D1743" s="3" t="str">
        <f>"女"</f>
        <v>女</v>
      </c>
      <c r="E1743" s="3" t="str">
        <f>"2507016005"</f>
        <v>2507016005</v>
      </c>
      <c r="F1743" s="3" t="str">
        <f t="shared" si="167"/>
        <v>60</v>
      </c>
      <c r="G1743" s="4" t="str">
        <f>"05"</f>
        <v>05</v>
      </c>
      <c r="H1743" s="5">
        <v>71.1</v>
      </c>
      <c r="I1743" s="3"/>
    </row>
    <row r="1744" customHeight="1" spans="1:9">
      <c r="A1744" s="3" t="str">
        <f t="shared" si="165"/>
        <v>0106</v>
      </c>
      <c r="B1744" s="3" t="s">
        <v>20</v>
      </c>
      <c r="C1744" s="3" t="str">
        <f>"贾言磊"</f>
        <v>贾言磊</v>
      </c>
      <c r="D1744" s="3" t="str">
        <f>"男"</f>
        <v>男</v>
      </c>
      <c r="E1744" s="3" t="str">
        <f>"2507016006"</f>
        <v>2507016006</v>
      </c>
      <c r="F1744" s="3" t="str">
        <f t="shared" si="167"/>
        <v>60</v>
      </c>
      <c r="G1744" s="4" t="str">
        <f>"06"</f>
        <v>06</v>
      </c>
      <c r="H1744" s="5">
        <v>0</v>
      </c>
      <c r="I1744" s="3" t="s">
        <v>11</v>
      </c>
    </row>
    <row r="1745" customHeight="1" spans="1:9">
      <c r="A1745" s="3" t="str">
        <f t="shared" si="165"/>
        <v>0106</v>
      </c>
      <c r="B1745" s="3" t="s">
        <v>20</v>
      </c>
      <c r="C1745" s="3" t="str">
        <f>"赵传贺"</f>
        <v>赵传贺</v>
      </c>
      <c r="D1745" s="3" t="str">
        <f>"男"</f>
        <v>男</v>
      </c>
      <c r="E1745" s="3" t="str">
        <f>"2507016007"</f>
        <v>2507016007</v>
      </c>
      <c r="F1745" s="3" t="str">
        <f t="shared" si="167"/>
        <v>60</v>
      </c>
      <c r="G1745" s="4" t="str">
        <f>"07"</f>
        <v>07</v>
      </c>
      <c r="H1745" s="5">
        <v>62.5</v>
      </c>
      <c r="I1745" s="3"/>
    </row>
    <row r="1746" customHeight="1" spans="1:9">
      <c r="A1746" s="3" t="str">
        <f t="shared" si="165"/>
        <v>0106</v>
      </c>
      <c r="B1746" s="3" t="s">
        <v>20</v>
      </c>
      <c r="C1746" s="3" t="str">
        <f>"杨冬青"</f>
        <v>杨冬青</v>
      </c>
      <c r="D1746" s="3" t="str">
        <f>"男"</f>
        <v>男</v>
      </c>
      <c r="E1746" s="3" t="str">
        <f>"2507016008"</f>
        <v>2507016008</v>
      </c>
      <c r="F1746" s="3" t="str">
        <f t="shared" si="167"/>
        <v>60</v>
      </c>
      <c r="G1746" s="4" t="str">
        <f>"08"</f>
        <v>08</v>
      </c>
      <c r="H1746" s="5">
        <v>66</v>
      </c>
      <c r="I1746" s="3"/>
    </row>
    <row r="1747" customHeight="1" spans="1:9">
      <c r="A1747" s="3" t="str">
        <f t="shared" si="165"/>
        <v>0106</v>
      </c>
      <c r="B1747" s="3" t="s">
        <v>20</v>
      </c>
      <c r="C1747" s="3" t="str">
        <f>"武思捷"</f>
        <v>武思捷</v>
      </c>
      <c r="D1747" s="3" t="str">
        <f>"男"</f>
        <v>男</v>
      </c>
      <c r="E1747" s="3" t="str">
        <f>"2507016009"</f>
        <v>2507016009</v>
      </c>
      <c r="F1747" s="3" t="str">
        <f t="shared" si="167"/>
        <v>60</v>
      </c>
      <c r="G1747" s="4" t="str">
        <f>"09"</f>
        <v>09</v>
      </c>
      <c r="H1747" s="5">
        <v>0</v>
      </c>
      <c r="I1747" s="3" t="s">
        <v>11</v>
      </c>
    </row>
    <row r="1748" customHeight="1" spans="1:9">
      <c r="A1748" s="3" t="str">
        <f t="shared" si="165"/>
        <v>0106</v>
      </c>
      <c r="B1748" s="3" t="s">
        <v>20</v>
      </c>
      <c r="C1748" s="3" t="str">
        <f>"马玉冰"</f>
        <v>马玉冰</v>
      </c>
      <c r="D1748" s="3" t="str">
        <f>"男"</f>
        <v>男</v>
      </c>
      <c r="E1748" s="3" t="str">
        <f>"2507016010"</f>
        <v>2507016010</v>
      </c>
      <c r="F1748" s="3" t="str">
        <f t="shared" si="167"/>
        <v>60</v>
      </c>
      <c r="G1748" s="4" t="str">
        <f>"10"</f>
        <v>10</v>
      </c>
      <c r="H1748" s="5">
        <v>0</v>
      </c>
      <c r="I1748" s="3" t="s">
        <v>11</v>
      </c>
    </row>
    <row r="1749" customHeight="1" spans="1:9">
      <c r="A1749" s="3" t="str">
        <f t="shared" si="165"/>
        <v>0106</v>
      </c>
      <c r="B1749" s="3" t="s">
        <v>20</v>
      </c>
      <c r="C1749" s="3" t="str">
        <f>"孟凌潇"</f>
        <v>孟凌潇</v>
      </c>
      <c r="D1749" s="3" t="str">
        <f>"女"</f>
        <v>女</v>
      </c>
      <c r="E1749" s="3" t="str">
        <f>"2507016011"</f>
        <v>2507016011</v>
      </c>
      <c r="F1749" s="3" t="str">
        <f t="shared" si="167"/>
        <v>60</v>
      </c>
      <c r="G1749" s="4" t="str">
        <f>"11"</f>
        <v>11</v>
      </c>
      <c r="H1749" s="5">
        <v>0</v>
      </c>
      <c r="I1749" s="3" t="s">
        <v>11</v>
      </c>
    </row>
    <row r="1750" customHeight="1" spans="1:9">
      <c r="A1750" s="3" t="str">
        <f t="shared" si="165"/>
        <v>0106</v>
      </c>
      <c r="B1750" s="3" t="s">
        <v>20</v>
      </c>
      <c r="C1750" s="3" t="str">
        <f>"李含章"</f>
        <v>李含章</v>
      </c>
      <c r="D1750" s="3" t="str">
        <f>"女"</f>
        <v>女</v>
      </c>
      <c r="E1750" s="3" t="str">
        <f>"2507016012"</f>
        <v>2507016012</v>
      </c>
      <c r="F1750" s="3" t="str">
        <f t="shared" si="167"/>
        <v>60</v>
      </c>
      <c r="G1750" s="4" t="str">
        <f>"12"</f>
        <v>12</v>
      </c>
      <c r="H1750" s="5">
        <v>0</v>
      </c>
      <c r="I1750" s="3" t="s">
        <v>11</v>
      </c>
    </row>
    <row r="1751" customHeight="1" spans="1:9">
      <c r="A1751" s="3" t="str">
        <f t="shared" ref="A1751:A1814" si="168">"0106"</f>
        <v>0106</v>
      </c>
      <c r="B1751" s="3" t="s">
        <v>20</v>
      </c>
      <c r="C1751" s="3" t="str">
        <f>"刘以琳"</f>
        <v>刘以琳</v>
      </c>
      <c r="D1751" s="3" t="str">
        <f>"女"</f>
        <v>女</v>
      </c>
      <c r="E1751" s="3" t="str">
        <f>"2507016013"</f>
        <v>2507016013</v>
      </c>
      <c r="F1751" s="3" t="str">
        <f t="shared" si="167"/>
        <v>60</v>
      </c>
      <c r="G1751" s="4" t="str">
        <f>"13"</f>
        <v>13</v>
      </c>
      <c r="H1751" s="5">
        <v>69.9</v>
      </c>
      <c r="I1751" s="3"/>
    </row>
    <row r="1752" customHeight="1" spans="1:9">
      <c r="A1752" s="3" t="str">
        <f t="shared" si="168"/>
        <v>0106</v>
      </c>
      <c r="B1752" s="3" t="s">
        <v>20</v>
      </c>
      <c r="C1752" s="3" t="str">
        <f>"刘洋"</f>
        <v>刘洋</v>
      </c>
      <c r="D1752" s="3" t="str">
        <f>"男"</f>
        <v>男</v>
      </c>
      <c r="E1752" s="3" t="str">
        <f>"2507016014"</f>
        <v>2507016014</v>
      </c>
      <c r="F1752" s="3" t="str">
        <f t="shared" si="167"/>
        <v>60</v>
      </c>
      <c r="G1752" s="4" t="str">
        <f>"14"</f>
        <v>14</v>
      </c>
      <c r="H1752" s="5">
        <v>0</v>
      </c>
      <c r="I1752" s="3" t="s">
        <v>11</v>
      </c>
    </row>
    <row r="1753" customHeight="1" spans="1:9">
      <c r="A1753" s="3" t="str">
        <f t="shared" si="168"/>
        <v>0106</v>
      </c>
      <c r="B1753" s="3" t="s">
        <v>20</v>
      </c>
      <c r="C1753" s="3" t="str">
        <f>"郭浩"</f>
        <v>郭浩</v>
      </c>
      <c r="D1753" s="3" t="str">
        <f>"男"</f>
        <v>男</v>
      </c>
      <c r="E1753" s="3" t="str">
        <f>"2507016015"</f>
        <v>2507016015</v>
      </c>
      <c r="F1753" s="3" t="str">
        <f t="shared" si="167"/>
        <v>60</v>
      </c>
      <c r="G1753" s="4" t="str">
        <f>"15"</f>
        <v>15</v>
      </c>
      <c r="H1753" s="5">
        <v>0</v>
      </c>
      <c r="I1753" s="3" t="s">
        <v>11</v>
      </c>
    </row>
    <row r="1754" customHeight="1" spans="1:9">
      <c r="A1754" s="3" t="str">
        <f t="shared" si="168"/>
        <v>0106</v>
      </c>
      <c r="B1754" s="3" t="s">
        <v>20</v>
      </c>
      <c r="C1754" s="3" t="str">
        <f>"张鑫磊"</f>
        <v>张鑫磊</v>
      </c>
      <c r="D1754" s="3" t="str">
        <f>"男"</f>
        <v>男</v>
      </c>
      <c r="E1754" s="3" t="str">
        <f>"2507016016"</f>
        <v>2507016016</v>
      </c>
      <c r="F1754" s="3" t="str">
        <f t="shared" si="167"/>
        <v>60</v>
      </c>
      <c r="G1754" s="4" t="str">
        <f>"16"</f>
        <v>16</v>
      </c>
      <c r="H1754" s="5">
        <v>74.1</v>
      </c>
      <c r="I1754" s="3"/>
    </row>
    <row r="1755" customHeight="1" spans="1:9">
      <c r="A1755" s="3" t="str">
        <f t="shared" si="168"/>
        <v>0106</v>
      </c>
      <c r="B1755" s="3" t="s">
        <v>20</v>
      </c>
      <c r="C1755" s="3" t="str">
        <f>"郝家尧"</f>
        <v>郝家尧</v>
      </c>
      <c r="D1755" s="3" t="str">
        <f>"男"</f>
        <v>男</v>
      </c>
      <c r="E1755" s="3" t="str">
        <f>"2507016017"</f>
        <v>2507016017</v>
      </c>
      <c r="F1755" s="3" t="str">
        <f t="shared" si="167"/>
        <v>60</v>
      </c>
      <c r="G1755" s="4" t="str">
        <f>"17"</f>
        <v>17</v>
      </c>
      <c r="H1755" s="5">
        <v>63.5</v>
      </c>
      <c r="I1755" s="3"/>
    </row>
    <row r="1756" customHeight="1" spans="1:9">
      <c r="A1756" s="3" t="str">
        <f t="shared" si="168"/>
        <v>0106</v>
      </c>
      <c r="B1756" s="3" t="s">
        <v>20</v>
      </c>
      <c r="C1756" s="3" t="str">
        <f>"李亚楠"</f>
        <v>李亚楠</v>
      </c>
      <c r="D1756" s="3" t="str">
        <f>"女"</f>
        <v>女</v>
      </c>
      <c r="E1756" s="3" t="str">
        <f>"2507016018"</f>
        <v>2507016018</v>
      </c>
      <c r="F1756" s="3" t="str">
        <f t="shared" si="167"/>
        <v>60</v>
      </c>
      <c r="G1756" s="4" t="str">
        <f>"18"</f>
        <v>18</v>
      </c>
      <c r="H1756" s="5">
        <v>48.7</v>
      </c>
      <c r="I1756" s="3"/>
    </row>
    <row r="1757" customHeight="1" spans="1:9">
      <c r="A1757" s="3" t="str">
        <f t="shared" si="168"/>
        <v>0106</v>
      </c>
      <c r="B1757" s="3" t="s">
        <v>20</v>
      </c>
      <c r="C1757" s="3" t="str">
        <f>"刘英梅"</f>
        <v>刘英梅</v>
      </c>
      <c r="D1757" s="3" t="str">
        <f>"女"</f>
        <v>女</v>
      </c>
      <c r="E1757" s="3" t="str">
        <f>"2507016019"</f>
        <v>2507016019</v>
      </c>
      <c r="F1757" s="3" t="str">
        <f t="shared" si="167"/>
        <v>60</v>
      </c>
      <c r="G1757" s="4" t="str">
        <f>"19"</f>
        <v>19</v>
      </c>
      <c r="H1757" s="5">
        <v>79.1</v>
      </c>
      <c r="I1757" s="3"/>
    </row>
    <row r="1758" customHeight="1" spans="1:9">
      <c r="A1758" s="3" t="str">
        <f t="shared" si="168"/>
        <v>0106</v>
      </c>
      <c r="B1758" s="3" t="s">
        <v>20</v>
      </c>
      <c r="C1758" s="3" t="str">
        <f>"沈丽平"</f>
        <v>沈丽平</v>
      </c>
      <c r="D1758" s="3" t="str">
        <f>"女"</f>
        <v>女</v>
      </c>
      <c r="E1758" s="3" t="str">
        <f>"2507016020"</f>
        <v>2507016020</v>
      </c>
      <c r="F1758" s="3" t="str">
        <f t="shared" si="167"/>
        <v>60</v>
      </c>
      <c r="G1758" s="4" t="str">
        <f>"20"</f>
        <v>20</v>
      </c>
      <c r="H1758" s="5">
        <v>0</v>
      </c>
      <c r="I1758" s="3" t="s">
        <v>11</v>
      </c>
    </row>
    <row r="1759" customHeight="1" spans="1:9">
      <c r="A1759" s="3" t="str">
        <f t="shared" si="168"/>
        <v>0106</v>
      </c>
      <c r="B1759" s="3" t="s">
        <v>20</v>
      </c>
      <c r="C1759" s="3" t="str">
        <f>"曹媛"</f>
        <v>曹媛</v>
      </c>
      <c r="D1759" s="3" t="str">
        <f>"女"</f>
        <v>女</v>
      </c>
      <c r="E1759" s="3" t="str">
        <f>"2507016021"</f>
        <v>2507016021</v>
      </c>
      <c r="F1759" s="3" t="str">
        <f t="shared" si="167"/>
        <v>60</v>
      </c>
      <c r="G1759" s="4" t="str">
        <f>"21"</f>
        <v>21</v>
      </c>
      <c r="H1759" s="5">
        <v>68.3</v>
      </c>
      <c r="I1759" s="3"/>
    </row>
    <row r="1760" customHeight="1" spans="1:9">
      <c r="A1760" s="3" t="str">
        <f t="shared" si="168"/>
        <v>0106</v>
      </c>
      <c r="B1760" s="3" t="s">
        <v>20</v>
      </c>
      <c r="C1760" s="3" t="str">
        <f>"余诗颖"</f>
        <v>余诗颖</v>
      </c>
      <c r="D1760" s="3" t="str">
        <f>"女"</f>
        <v>女</v>
      </c>
      <c r="E1760" s="3" t="str">
        <f>"2507016022"</f>
        <v>2507016022</v>
      </c>
      <c r="F1760" s="3" t="str">
        <f t="shared" si="167"/>
        <v>60</v>
      </c>
      <c r="G1760" s="4" t="str">
        <f>"22"</f>
        <v>22</v>
      </c>
      <c r="H1760" s="5">
        <v>70.1</v>
      </c>
      <c r="I1760" s="3"/>
    </row>
    <row r="1761" customHeight="1" spans="1:9">
      <c r="A1761" s="3" t="str">
        <f t="shared" si="168"/>
        <v>0106</v>
      </c>
      <c r="B1761" s="3" t="s">
        <v>20</v>
      </c>
      <c r="C1761" s="3" t="str">
        <f>"李萌萌"</f>
        <v>李萌萌</v>
      </c>
      <c r="D1761" s="3" t="str">
        <f>"男"</f>
        <v>男</v>
      </c>
      <c r="E1761" s="3" t="str">
        <f>"2507016023"</f>
        <v>2507016023</v>
      </c>
      <c r="F1761" s="3" t="str">
        <f t="shared" si="167"/>
        <v>60</v>
      </c>
      <c r="G1761" s="4" t="str">
        <f>"23"</f>
        <v>23</v>
      </c>
      <c r="H1761" s="5">
        <v>87.4</v>
      </c>
      <c r="I1761" s="3"/>
    </row>
    <row r="1762" customHeight="1" spans="1:9">
      <c r="A1762" s="3" t="str">
        <f t="shared" si="168"/>
        <v>0106</v>
      </c>
      <c r="B1762" s="3" t="s">
        <v>20</v>
      </c>
      <c r="C1762" s="3" t="str">
        <f>"梁茂冉"</f>
        <v>梁茂冉</v>
      </c>
      <c r="D1762" s="3" t="str">
        <f>"男"</f>
        <v>男</v>
      </c>
      <c r="E1762" s="3" t="str">
        <f>"2507016024"</f>
        <v>2507016024</v>
      </c>
      <c r="F1762" s="3" t="str">
        <f t="shared" si="167"/>
        <v>60</v>
      </c>
      <c r="G1762" s="4" t="str">
        <f>"24"</f>
        <v>24</v>
      </c>
      <c r="H1762" s="5">
        <v>0</v>
      </c>
      <c r="I1762" s="3" t="s">
        <v>11</v>
      </c>
    </row>
    <row r="1763" customHeight="1" spans="1:9">
      <c r="A1763" s="3" t="str">
        <f t="shared" si="168"/>
        <v>0106</v>
      </c>
      <c r="B1763" s="3" t="s">
        <v>20</v>
      </c>
      <c r="C1763" s="3" t="str">
        <f>"胡敏杰"</f>
        <v>胡敏杰</v>
      </c>
      <c r="D1763" s="3" t="str">
        <f>"男"</f>
        <v>男</v>
      </c>
      <c r="E1763" s="3" t="str">
        <f>"2507016025"</f>
        <v>2507016025</v>
      </c>
      <c r="F1763" s="3" t="str">
        <f t="shared" si="167"/>
        <v>60</v>
      </c>
      <c r="G1763" s="4" t="str">
        <f>"25"</f>
        <v>25</v>
      </c>
      <c r="H1763" s="5">
        <v>73.3</v>
      </c>
      <c r="I1763" s="3"/>
    </row>
    <row r="1764" customHeight="1" spans="1:9">
      <c r="A1764" s="3" t="str">
        <f t="shared" si="168"/>
        <v>0106</v>
      </c>
      <c r="B1764" s="3" t="s">
        <v>20</v>
      </c>
      <c r="C1764" s="3" t="str">
        <f>"孙维丹"</f>
        <v>孙维丹</v>
      </c>
      <c r="D1764" s="3" t="str">
        <f>"女"</f>
        <v>女</v>
      </c>
      <c r="E1764" s="3" t="str">
        <f>"2507016026"</f>
        <v>2507016026</v>
      </c>
      <c r="F1764" s="3" t="str">
        <f t="shared" si="167"/>
        <v>60</v>
      </c>
      <c r="G1764" s="4" t="str">
        <f>"26"</f>
        <v>26</v>
      </c>
      <c r="H1764" s="5">
        <v>0</v>
      </c>
      <c r="I1764" s="3" t="s">
        <v>11</v>
      </c>
    </row>
    <row r="1765" customHeight="1" spans="1:9">
      <c r="A1765" s="3" t="str">
        <f t="shared" si="168"/>
        <v>0106</v>
      </c>
      <c r="B1765" s="3" t="s">
        <v>20</v>
      </c>
      <c r="C1765" s="3" t="str">
        <f>"刘宇辉"</f>
        <v>刘宇辉</v>
      </c>
      <c r="D1765" s="3" t="str">
        <f>"男"</f>
        <v>男</v>
      </c>
      <c r="E1765" s="3" t="str">
        <f>"2507016027"</f>
        <v>2507016027</v>
      </c>
      <c r="F1765" s="3" t="str">
        <f t="shared" si="167"/>
        <v>60</v>
      </c>
      <c r="G1765" s="4" t="str">
        <f>"27"</f>
        <v>27</v>
      </c>
      <c r="H1765" s="5">
        <v>0</v>
      </c>
      <c r="I1765" s="3" t="s">
        <v>11</v>
      </c>
    </row>
    <row r="1766" customHeight="1" spans="1:9">
      <c r="A1766" s="3" t="str">
        <f t="shared" si="168"/>
        <v>0106</v>
      </c>
      <c r="B1766" s="3" t="s">
        <v>20</v>
      </c>
      <c r="C1766" s="3" t="str">
        <f>"朱惠姿"</f>
        <v>朱惠姿</v>
      </c>
      <c r="D1766" s="3" t="str">
        <f>"女"</f>
        <v>女</v>
      </c>
      <c r="E1766" s="3" t="str">
        <f>"2507016028"</f>
        <v>2507016028</v>
      </c>
      <c r="F1766" s="3" t="str">
        <f t="shared" si="167"/>
        <v>60</v>
      </c>
      <c r="G1766" s="4" t="str">
        <f>"28"</f>
        <v>28</v>
      </c>
      <c r="H1766" s="5">
        <v>0</v>
      </c>
      <c r="I1766" s="3" t="s">
        <v>11</v>
      </c>
    </row>
    <row r="1767" customHeight="1" spans="1:9">
      <c r="A1767" s="3" t="str">
        <f t="shared" si="168"/>
        <v>0106</v>
      </c>
      <c r="B1767" s="3" t="s">
        <v>20</v>
      </c>
      <c r="C1767" s="3" t="str">
        <f>"李顺"</f>
        <v>李顺</v>
      </c>
      <c r="D1767" s="3" t="str">
        <f>"男"</f>
        <v>男</v>
      </c>
      <c r="E1767" s="3" t="str">
        <f>"2507016029"</f>
        <v>2507016029</v>
      </c>
      <c r="F1767" s="3" t="str">
        <f t="shared" si="167"/>
        <v>60</v>
      </c>
      <c r="G1767" s="4" t="str">
        <f>"29"</f>
        <v>29</v>
      </c>
      <c r="H1767" s="5">
        <v>0</v>
      </c>
      <c r="I1767" s="3" t="s">
        <v>11</v>
      </c>
    </row>
    <row r="1768" customHeight="1" spans="1:9">
      <c r="A1768" s="3" t="str">
        <f t="shared" si="168"/>
        <v>0106</v>
      </c>
      <c r="B1768" s="3" t="s">
        <v>20</v>
      </c>
      <c r="C1768" s="3" t="str">
        <f>"周凡楚"</f>
        <v>周凡楚</v>
      </c>
      <c r="D1768" s="3" t="str">
        <f>"女"</f>
        <v>女</v>
      </c>
      <c r="E1768" s="3" t="str">
        <f>"2507016030"</f>
        <v>2507016030</v>
      </c>
      <c r="F1768" s="3" t="str">
        <f t="shared" si="167"/>
        <v>60</v>
      </c>
      <c r="G1768" s="4" t="str">
        <f>"30"</f>
        <v>30</v>
      </c>
      <c r="H1768" s="5">
        <v>0</v>
      </c>
      <c r="I1768" s="3" t="s">
        <v>11</v>
      </c>
    </row>
    <row r="1769" customHeight="1" spans="1:9">
      <c r="A1769" s="3" t="str">
        <f t="shared" si="168"/>
        <v>0106</v>
      </c>
      <c r="B1769" s="3" t="s">
        <v>20</v>
      </c>
      <c r="C1769" s="3" t="str">
        <f>"王令达"</f>
        <v>王令达</v>
      </c>
      <c r="D1769" s="3" t="str">
        <f>"男"</f>
        <v>男</v>
      </c>
      <c r="E1769" s="3" t="str">
        <f>"2507016031"</f>
        <v>2507016031</v>
      </c>
      <c r="F1769" s="3" t="str">
        <f t="shared" si="167"/>
        <v>60</v>
      </c>
      <c r="G1769" s="4" t="str">
        <f>"31"</f>
        <v>31</v>
      </c>
      <c r="H1769" s="5">
        <v>0</v>
      </c>
      <c r="I1769" s="3" t="s">
        <v>11</v>
      </c>
    </row>
    <row r="1770" customHeight="1" spans="1:9">
      <c r="A1770" s="3" t="str">
        <f t="shared" si="168"/>
        <v>0106</v>
      </c>
      <c r="B1770" s="3" t="s">
        <v>20</v>
      </c>
      <c r="C1770" s="3" t="str">
        <f>"李晓妍"</f>
        <v>李晓妍</v>
      </c>
      <c r="D1770" s="3" t="str">
        <f>"女"</f>
        <v>女</v>
      </c>
      <c r="E1770" s="3" t="str">
        <f>"2507016101"</f>
        <v>2507016101</v>
      </c>
      <c r="F1770" s="3" t="str">
        <f t="shared" ref="F1770:F1801" si="169">"61"</f>
        <v>61</v>
      </c>
      <c r="G1770" s="4" t="str">
        <f>"01"</f>
        <v>01</v>
      </c>
      <c r="H1770" s="5">
        <v>87</v>
      </c>
      <c r="I1770" s="3"/>
    </row>
    <row r="1771" customHeight="1" spans="1:9">
      <c r="A1771" s="3" t="str">
        <f t="shared" si="168"/>
        <v>0106</v>
      </c>
      <c r="B1771" s="3" t="s">
        <v>20</v>
      </c>
      <c r="C1771" s="3" t="str">
        <f>"沈玉国"</f>
        <v>沈玉国</v>
      </c>
      <c r="D1771" s="3" t="str">
        <f>"男"</f>
        <v>男</v>
      </c>
      <c r="E1771" s="3" t="str">
        <f>"2507016102"</f>
        <v>2507016102</v>
      </c>
      <c r="F1771" s="3" t="str">
        <f t="shared" si="169"/>
        <v>61</v>
      </c>
      <c r="G1771" s="4" t="str">
        <f>"02"</f>
        <v>02</v>
      </c>
      <c r="H1771" s="5">
        <v>74.2</v>
      </c>
      <c r="I1771" s="3"/>
    </row>
    <row r="1772" customHeight="1" spans="1:9">
      <c r="A1772" s="3" t="str">
        <f t="shared" si="168"/>
        <v>0106</v>
      </c>
      <c r="B1772" s="3" t="s">
        <v>20</v>
      </c>
      <c r="C1772" s="3" t="str">
        <f>"朱雪妮"</f>
        <v>朱雪妮</v>
      </c>
      <c r="D1772" s="3" t="str">
        <f>"女"</f>
        <v>女</v>
      </c>
      <c r="E1772" s="3" t="str">
        <f>"2507016103"</f>
        <v>2507016103</v>
      </c>
      <c r="F1772" s="3" t="str">
        <f t="shared" si="169"/>
        <v>61</v>
      </c>
      <c r="G1772" s="4" t="str">
        <f>"03"</f>
        <v>03</v>
      </c>
      <c r="H1772" s="5">
        <v>66.4</v>
      </c>
      <c r="I1772" s="3"/>
    </row>
    <row r="1773" customHeight="1" spans="1:9">
      <c r="A1773" s="3" t="str">
        <f t="shared" si="168"/>
        <v>0106</v>
      </c>
      <c r="B1773" s="3" t="s">
        <v>20</v>
      </c>
      <c r="C1773" s="3" t="str">
        <f>"席小凡"</f>
        <v>席小凡</v>
      </c>
      <c r="D1773" s="3" t="str">
        <f>"男"</f>
        <v>男</v>
      </c>
      <c r="E1773" s="3" t="str">
        <f>"2507016104"</f>
        <v>2507016104</v>
      </c>
      <c r="F1773" s="3" t="str">
        <f t="shared" si="169"/>
        <v>61</v>
      </c>
      <c r="G1773" s="4" t="str">
        <f>"04"</f>
        <v>04</v>
      </c>
      <c r="H1773" s="5">
        <v>0</v>
      </c>
      <c r="I1773" s="3" t="s">
        <v>11</v>
      </c>
    </row>
    <row r="1774" customHeight="1" spans="1:9">
      <c r="A1774" s="3" t="str">
        <f t="shared" si="168"/>
        <v>0106</v>
      </c>
      <c r="B1774" s="3" t="s">
        <v>20</v>
      </c>
      <c r="C1774" s="3" t="str">
        <f>"孟淇"</f>
        <v>孟淇</v>
      </c>
      <c r="D1774" s="3" t="str">
        <f>"女"</f>
        <v>女</v>
      </c>
      <c r="E1774" s="3" t="str">
        <f>"2507016105"</f>
        <v>2507016105</v>
      </c>
      <c r="F1774" s="3" t="str">
        <f t="shared" si="169"/>
        <v>61</v>
      </c>
      <c r="G1774" s="4" t="str">
        <f>"05"</f>
        <v>05</v>
      </c>
      <c r="H1774" s="5">
        <v>71.1</v>
      </c>
      <c r="I1774" s="3"/>
    </row>
    <row r="1775" customHeight="1" spans="1:9">
      <c r="A1775" s="3" t="str">
        <f t="shared" si="168"/>
        <v>0106</v>
      </c>
      <c r="B1775" s="3" t="s">
        <v>20</v>
      </c>
      <c r="C1775" s="3" t="str">
        <f>"王洁琼"</f>
        <v>王洁琼</v>
      </c>
      <c r="D1775" s="3" t="str">
        <f>"女"</f>
        <v>女</v>
      </c>
      <c r="E1775" s="3" t="str">
        <f>"2507016106"</f>
        <v>2507016106</v>
      </c>
      <c r="F1775" s="3" t="str">
        <f t="shared" si="169"/>
        <v>61</v>
      </c>
      <c r="G1775" s="4" t="str">
        <f>"06"</f>
        <v>06</v>
      </c>
      <c r="H1775" s="5">
        <v>65</v>
      </c>
      <c r="I1775" s="3"/>
    </row>
    <row r="1776" customHeight="1" spans="1:9">
      <c r="A1776" s="3" t="str">
        <f t="shared" si="168"/>
        <v>0106</v>
      </c>
      <c r="B1776" s="3" t="s">
        <v>20</v>
      </c>
      <c r="C1776" s="3" t="str">
        <f>"王亚东"</f>
        <v>王亚东</v>
      </c>
      <c r="D1776" s="3" t="str">
        <f>"男"</f>
        <v>男</v>
      </c>
      <c r="E1776" s="3" t="str">
        <f>"2507016107"</f>
        <v>2507016107</v>
      </c>
      <c r="F1776" s="3" t="str">
        <f t="shared" si="169"/>
        <v>61</v>
      </c>
      <c r="G1776" s="4" t="str">
        <f>"07"</f>
        <v>07</v>
      </c>
      <c r="H1776" s="5">
        <v>78.3</v>
      </c>
      <c r="I1776" s="3"/>
    </row>
    <row r="1777" customHeight="1" spans="1:9">
      <c r="A1777" s="3" t="str">
        <f t="shared" si="168"/>
        <v>0106</v>
      </c>
      <c r="B1777" s="3" t="s">
        <v>20</v>
      </c>
      <c r="C1777" s="3" t="str">
        <f>"李晓熠"</f>
        <v>李晓熠</v>
      </c>
      <c r="D1777" s="3" t="str">
        <f>"女"</f>
        <v>女</v>
      </c>
      <c r="E1777" s="3" t="str">
        <f>"2507016108"</f>
        <v>2507016108</v>
      </c>
      <c r="F1777" s="3" t="str">
        <f t="shared" si="169"/>
        <v>61</v>
      </c>
      <c r="G1777" s="4" t="str">
        <f>"08"</f>
        <v>08</v>
      </c>
      <c r="H1777" s="5">
        <v>72.1</v>
      </c>
      <c r="I1777" s="3"/>
    </row>
    <row r="1778" customHeight="1" spans="1:9">
      <c r="A1778" s="3" t="str">
        <f t="shared" si="168"/>
        <v>0106</v>
      </c>
      <c r="B1778" s="3" t="s">
        <v>20</v>
      </c>
      <c r="C1778" s="3" t="str">
        <f>"王群"</f>
        <v>王群</v>
      </c>
      <c r="D1778" s="3" t="str">
        <f>"男"</f>
        <v>男</v>
      </c>
      <c r="E1778" s="3" t="str">
        <f>"2507016109"</f>
        <v>2507016109</v>
      </c>
      <c r="F1778" s="3" t="str">
        <f t="shared" si="169"/>
        <v>61</v>
      </c>
      <c r="G1778" s="4" t="str">
        <f>"09"</f>
        <v>09</v>
      </c>
      <c r="H1778" s="5">
        <v>0</v>
      </c>
      <c r="I1778" s="3" t="s">
        <v>11</v>
      </c>
    </row>
    <row r="1779" customHeight="1" spans="1:9">
      <c r="A1779" s="3" t="str">
        <f t="shared" si="168"/>
        <v>0106</v>
      </c>
      <c r="B1779" s="3" t="s">
        <v>20</v>
      </c>
      <c r="C1779" s="3" t="str">
        <f>"侯逸凡"</f>
        <v>侯逸凡</v>
      </c>
      <c r="D1779" s="3" t="str">
        <f>"男"</f>
        <v>男</v>
      </c>
      <c r="E1779" s="3" t="str">
        <f>"2507016110"</f>
        <v>2507016110</v>
      </c>
      <c r="F1779" s="3" t="str">
        <f t="shared" si="169"/>
        <v>61</v>
      </c>
      <c r="G1779" s="4" t="str">
        <f>"10"</f>
        <v>10</v>
      </c>
      <c r="H1779" s="5">
        <v>0</v>
      </c>
      <c r="I1779" s="3" t="s">
        <v>11</v>
      </c>
    </row>
    <row r="1780" customHeight="1" spans="1:9">
      <c r="A1780" s="3" t="str">
        <f t="shared" si="168"/>
        <v>0106</v>
      </c>
      <c r="B1780" s="3" t="s">
        <v>20</v>
      </c>
      <c r="C1780" s="3" t="str">
        <f>"范承虎"</f>
        <v>范承虎</v>
      </c>
      <c r="D1780" s="3" t="str">
        <f>"男"</f>
        <v>男</v>
      </c>
      <c r="E1780" s="3" t="str">
        <f>"2507016111"</f>
        <v>2507016111</v>
      </c>
      <c r="F1780" s="3" t="str">
        <f t="shared" si="169"/>
        <v>61</v>
      </c>
      <c r="G1780" s="4" t="str">
        <f>"11"</f>
        <v>11</v>
      </c>
      <c r="H1780" s="5">
        <v>74.3</v>
      </c>
      <c r="I1780" s="3"/>
    </row>
    <row r="1781" customHeight="1" spans="1:9">
      <c r="A1781" s="3" t="str">
        <f t="shared" si="168"/>
        <v>0106</v>
      </c>
      <c r="B1781" s="3" t="s">
        <v>20</v>
      </c>
      <c r="C1781" s="3" t="str">
        <f>"员超群"</f>
        <v>员超群</v>
      </c>
      <c r="D1781" s="3" t="str">
        <f>"男"</f>
        <v>男</v>
      </c>
      <c r="E1781" s="3" t="str">
        <f>"2507016112"</f>
        <v>2507016112</v>
      </c>
      <c r="F1781" s="3" t="str">
        <f t="shared" si="169"/>
        <v>61</v>
      </c>
      <c r="G1781" s="4" t="str">
        <f>"12"</f>
        <v>12</v>
      </c>
      <c r="H1781" s="5">
        <v>79.9</v>
      </c>
      <c r="I1781" s="3"/>
    </row>
    <row r="1782" customHeight="1" spans="1:9">
      <c r="A1782" s="3" t="str">
        <f t="shared" si="168"/>
        <v>0106</v>
      </c>
      <c r="B1782" s="3" t="s">
        <v>20</v>
      </c>
      <c r="C1782" s="3" t="str">
        <f>"张鑫"</f>
        <v>张鑫</v>
      </c>
      <c r="D1782" s="3" t="str">
        <f>"男"</f>
        <v>男</v>
      </c>
      <c r="E1782" s="3" t="str">
        <f>"2507016113"</f>
        <v>2507016113</v>
      </c>
      <c r="F1782" s="3" t="str">
        <f t="shared" si="169"/>
        <v>61</v>
      </c>
      <c r="G1782" s="4" t="str">
        <f>"13"</f>
        <v>13</v>
      </c>
      <c r="H1782" s="5">
        <v>0</v>
      </c>
      <c r="I1782" s="3" t="s">
        <v>11</v>
      </c>
    </row>
    <row r="1783" customHeight="1" spans="1:9">
      <c r="A1783" s="3" t="str">
        <f t="shared" si="168"/>
        <v>0106</v>
      </c>
      <c r="B1783" s="3" t="s">
        <v>20</v>
      </c>
      <c r="C1783" s="3" t="str">
        <f>"宋颖"</f>
        <v>宋颖</v>
      </c>
      <c r="D1783" s="3" t="str">
        <f>"女"</f>
        <v>女</v>
      </c>
      <c r="E1783" s="3" t="str">
        <f>"2507016114"</f>
        <v>2507016114</v>
      </c>
      <c r="F1783" s="3" t="str">
        <f t="shared" si="169"/>
        <v>61</v>
      </c>
      <c r="G1783" s="4" t="str">
        <f>"14"</f>
        <v>14</v>
      </c>
      <c r="H1783" s="5">
        <v>74.7</v>
      </c>
      <c r="I1783" s="3"/>
    </row>
    <row r="1784" customHeight="1" spans="1:9">
      <c r="A1784" s="3" t="str">
        <f t="shared" si="168"/>
        <v>0106</v>
      </c>
      <c r="B1784" s="3" t="s">
        <v>20</v>
      </c>
      <c r="C1784" s="3" t="str">
        <f>"石微微"</f>
        <v>石微微</v>
      </c>
      <c r="D1784" s="3" t="str">
        <f>"男"</f>
        <v>男</v>
      </c>
      <c r="E1784" s="3" t="str">
        <f>"2507016115"</f>
        <v>2507016115</v>
      </c>
      <c r="F1784" s="3" t="str">
        <f t="shared" si="169"/>
        <v>61</v>
      </c>
      <c r="G1784" s="4" t="str">
        <f>"15"</f>
        <v>15</v>
      </c>
      <c r="H1784" s="5">
        <v>0</v>
      </c>
      <c r="I1784" s="3" t="s">
        <v>11</v>
      </c>
    </row>
    <row r="1785" customHeight="1" spans="1:9">
      <c r="A1785" s="3" t="str">
        <f t="shared" si="168"/>
        <v>0106</v>
      </c>
      <c r="B1785" s="3" t="s">
        <v>20</v>
      </c>
      <c r="C1785" s="3" t="str">
        <f>"王逸飞"</f>
        <v>王逸飞</v>
      </c>
      <c r="D1785" s="3" t="str">
        <f>"男"</f>
        <v>男</v>
      </c>
      <c r="E1785" s="3" t="str">
        <f>"2507016116"</f>
        <v>2507016116</v>
      </c>
      <c r="F1785" s="3" t="str">
        <f t="shared" si="169"/>
        <v>61</v>
      </c>
      <c r="G1785" s="4" t="str">
        <f>"16"</f>
        <v>16</v>
      </c>
      <c r="H1785" s="5">
        <v>70.7</v>
      </c>
      <c r="I1785" s="3"/>
    </row>
    <row r="1786" customHeight="1" spans="1:9">
      <c r="A1786" s="3" t="str">
        <f t="shared" si="168"/>
        <v>0106</v>
      </c>
      <c r="B1786" s="3" t="s">
        <v>20</v>
      </c>
      <c r="C1786" s="3" t="str">
        <f>"孙钦翔"</f>
        <v>孙钦翔</v>
      </c>
      <c r="D1786" s="3" t="str">
        <f>"男"</f>
        <v>男</v>
      </c>
      <c r="E1786" s="3" t="str">
        <f>"2507016117"</f>
        <v>2507016117</v>
      </c>
      <c r="F1786" s="3" t="str">
        <f t="shared" si="169"/>
        <v>61</v>
      </c>
      <c r="G1786" s="4" t="str">
        <f>"17"</f>
        <v>17</v>
      </c>
      <c r="H1786" s="5">
        <v>79.5</v>
      </c>
      <c r="I1786" s="3"/>
    </row>
    <row r="1787" customHeight="1" spans="1:9">
      <c r="A1787" s="3" t="str">
        <f t="shared" si="168"/>
        <v>0106</v>
      </c>
      <c r="B1787" s="3" t="s">
        <v>20</v>
      </c>
      <c r="C1787" s="3" t="str">
        <f>"单思蒙"</f>
        <v>单思蒙</v>
      </c>
      <c r="D1787" s="3" t="str">
        <f>"女"</f>
        <v>女</v>
      </c>
      <c r="E1787" s="3" t="str">
        <f>"2507016118"</f>
        <v>2507016118</v>
      </c>
      <c r="F1787" s="3" t="str">
        <f t="shared" si="169"/>
        <v>61</v>
      </c>
      <c r="G1787" s="4" t="str">
        <f>"18"</f>
        <v>18</v>
      </c>
      <c r="H1787" s="5">
        <v>0</v>
      </c>
      <c r="I1787" s="3" t="s">
        <v>11</v>
      </c>
    </row>
    <row r="1788" customHeight="1" spans="1:9">
      <c r="A1788" s="3" t="str">
        <f t="shared" si="168"/>
        <v>0106</v>
      </c>
      <c r="B1788" s="3" t="s">
        <v>20</v>
      </c>
      <c r="C1788" s="3" t="str">
        <f>"汪建钢"</f>
        <v>汪建钢</v>
      </c>
      <c r="D1788" s="3" t="str">
        <f>"男"</f>
        <v>男</v>
      </c>
      <c r="E1788" s="3" t="str">
        <f>"2507016119"</f>
        <v>2507016119</v>
      </c>
      <c r="F1788" s="3" t="str">
        <f t="shared" si="169"/>
        <v>61</v>
      </c>
      <c r="G1788" s="4" t="str">
        <f>"19"</f>
        <v>19</v>
      </c>
      <c r="H1788" s="5">
        <v>84.9</v>
      </c>
      <c r="I1788" s="3"/>
    </row>
    <row r="1789" customHeight="1" spans="1:9">
      <c r="A1789" s="3" t="str">
        <f t="shared" si="168"/>
        <v>0106</v>
      </c>
      <c r="B1789" s="3" t="s">
        <v>20</v>
      </c>
      <c r="C1789" s="3" t="str">
        <f>"秦天赐"</f>
        <v>秦天赐</v>
      </c>
      <c r="D1789" s="3" t="str">
        <f>"男"</f>
        <v>男</v>
      </c>
      <c r="E1789" s="3" t="str">
        <f>"2507016120"</f>
        <v>2507016120</v>
      </c>
      <c r="F1789" s="3" t="str">
        <f t="shared" si="169"/>
        <v>61</v>
      </c>
      <c r="G1789" s="4" t="str">
        <f>"20"</f>
        <v>20</v>
      </c>
      <c r="H1789" s="5">
        <v>0</v>
      </c>
      <c r="I1789" s="3" t="s">
        <v>11</v>
      </c>
    </row>
    <row r="1790" customHeight="1" spans="1:9">
      <c r="A1790" s="3" t="str">
        <f t="shared" si="168"/>
        <v>0106</v>
      </c>
      <c r="B1790" s="3" t="s">
        <v>20</v>
      </c>
      <c r="C1790" s="3" t="str">
        <f>"王宇扬"</f>
        <v>王宇扬</v>
      </c>
      <c r="D1790" s="3" t="str">
        <f>"男"</f>
        <v>男</v>
      </c>
      <c r="E1790" s="3" t="str">
        <f>"2507016121"</f>
        <v>2507016121</v>
      </c>
      <c r="F1790" s="3" t="str">
        <f t="shared" si="169"/>
        <v>61</v>
      </c>
      <c r="G1790" s="4" t="str">
        <f>"21"</f>
        <v>21</v>
      </c>
      <c r="H1790" s="5">
        <v>85.3</v>
      </c>
      <c r="I1790" s="3"/>
    </row>
    <row r="1791" customHeight="1" spans="1:9">
      <c r="A1791" s="3" t="str">
        <f t="shared" si="168"/>
        <v>0106</v>
      </c>
      <c r="B1791" s="3" t="s">
        <v>20</v>
      </c>
      <c r="C1791" s="3" t="str">
        <f>"李皓淼"</f>
        <v>李皓淼</v>
      </c>
      <c r="D1791" s="3" t="str">
        <f>"女"</f>
        <v>女</v>
      </c>
      <c r="E1791" s="3" t="str">
        <f>"2507016122"</f>
        <v>2507016122</v>
      </c>
      <c r="F1791" s="3" t="str">
        <f t="shared" si="169"/>
        <v>61</v>
      </c>
      <c r="G1791" s="4" t="str">
        <f>"22"</f>
        <v>22</v>
      </c>
      <c r="H1791" s="5">
        <v>0</v>
      </c>
      <c r="I1791" s="3" t="s">
        <v>11</v>
      </c>
    </row>
    <row r="1792" customHeight="1" spans="1:9">
      <c r="A1792" s="3" t="str">
        <f t="shared" si="168"/>
        <v>0106</v>
      </c>
      <c r="B1792" s="3" t="s">
        <v>20</v>
      </c>
      <c r="C1792" s="3" t="str">
        <f>"裴文娟"</f>
        <v>裴文娟</v>
      </c>
      <c r="D1792" s="3" t="str">
        <f>"女"</f>
        <v>女</v>
      </c>
      <c r="E1792" s="3" t="str">
        <f>"2507016123"</f>
        <v>2507016123</v>
      </c>
      <c r="F1792" s="3" t="str">
        <f t="shared" si="169"/>
        <v>61</v>
      </c>
      <c r="G1792" s="4" t="str">
        <f>"23"</f>
        <v>23</v>
      </c>
      <c r="H1792" s="5">
        <v>0</v>
      </c>
      <c r="I1792" s="3" t="s">
        <v>11</v>
      </c>
    </row>
    <row r="1793" customHeight="1" spans="1:9">
      <c r="A1793" s="3" t="str">
        <f t="shared" si="168"/>
        <v>0106</v>
      </c>
      <c r="B1793" s="3" t="s">
        <v>20</v>
      </c>
      <c r="C1793" s="3" t="str">
        <f>"王文明"</f>
        <v>王文明</v>
      </c>
      <c r="D1793" s="3" t="str">
        <f>"男"</f>
        <v>男</v>
      </c>
      <c r="E1793" s="3" t="str">
        <f>"2507016124"</f>
        <v>2507016124</v>
      </c>
      <c r="F1793" s="3" t="str">
        <f t="shared" si="169"/>
        <v>61</v>
      </c>
      <c r="G1793" s="4" t="str">
        <f>"24"</f>
        <v>24</v>
      </c>
      <c r="H1793" s="5">
        <v>0</v>
      </c>
      <c r="I1793" s="3" t="s">
        <v>11</v>
      </c>
    </row>
    <row r="1794" customHeight="1" spans="1:9">
      <c r="A1794" s="3" t="str">
        <f t="shared" si="168"/>
        <v>0106</v>
      </c>
      <c r="B1794" s="3" t="s">
        <v>20</v>
      </c>
      <c r="C1794" s="3" t="str">
        <f>"郑初蕾"</f>
        <v>郑初蕾</v>
      </c>
      <c r="D1794" s="3" t="str">
        <f>"女"</f>
        <v>女</v>
      </c>
      <c r="E1794" s="3" t="str">
        <f>"2507016125"</f>
        <v>2507016125</v>
      </c>
      <c r="F1794" s="3" t="str">
        <f t="shared" si="169"/>
        <v>61</v>
      </c>
      <c r="G1794" s="4" t="str">
        <f>"25"</f>
        <v>25</v>
      </c>
      <c r="H1794" s="5">
        <v>0</v>
      </c>
      <c r="I1794" s="3" t="s">
        <v>11</v>
      </c>
    </row>
    <row r="1795" customHeight="1" spans="1:9">
      <c r="A1795" s="3" t="str">
        <f t="shared" si="168"/>
        <v>0106</v>
      </c>
      <c r="B1795" s="3" t="s">
        <v>20</v>
      </c>
      <c r="C1795" s="3" t="str">
        <f>"英宜轩"</f>
        <v>英宜轩</v>
      </c>
      <c r="D1795" s="3" t="str">
        <f>"女"</f>
        <v>女</v>
      </c>
      <c r="E1795" s="3" t="str">
        <f>"2507016126"</f>
        <v>2507016126</v>
      </c>
      <c r="F1795" s="3" t="str">
        <f t="shared" si="169"/>
        <v>61</v>
      </c>
      <c r="G1795" s="4" t="str">
        <f>"26"</f>
        <v>26</v>
      </c>
      <c r="H1795" s="5">
        <v>81.3</v>
      </c>
      <c r="I1795" s="3"/>
    </row>
    <row r="1796" customHeight="1" spans="1:9">
      <c r="A1796" s="3" t="str">
        <f t="shared" si="168"/>
        <v>0106</v>
      </c>
      <c r="B1796" s="3" t="s">
        <v>20</v>
      </c>
      <c r="C1796" s="3" t="str">
        <f>"许芳斌"</f>
        <v>许芳斌</v>
      </c>
      <c r="D1796" s="3" t="str">
        <f>"男"</f>
        <v>男</v>
      </c>
      <c r="E1796" s="3" t="str">
        <f>"2507016127"</f>
        <v>2507016127</v>
      </c>
      <c r="F1796" s="3" t="str">
        <f t="shared" si="169"/>
        <v>61</v>
      </c>
      <c r="G1796" s="4" t="str">
        <f>"27"</f>
        <v>27</v>
      </c>
      <c r="H1796" s="5">
        <v>67.1</v>
      </c>
      <c r="I1796" s="3"/>
    </row>
    <row r="1797" customHeight="1" spans="1:9">
      <c r="A1797" s="3" t="str">
        <f t="shared" si="168"/>
        <v>0106</v>
      </c>
      <c r="B1797" s="3" t="s">
        <v>20</v>
      </c>
      <c r="C1797" s="3" t="str">
        <f>"武威"</f>
        <v>武威</v>
      </c>
      <c r="D1797" s="3" t="str">
        <f>"男"</f>
        <v>男</v>
      </c>
      <c r="E1797" s="3" t="str">
        <f>"2507016128"</f>
        <v>2507016128</v>
      </c>
      <c r="F1797" s="3" t="str">
        <f t="shared" si="169"/>
        <v>61</v>
      </c>
      <c r="G1797" s="4" t="str">
        <f>"28"</f>
        <v>28</v>
      </c>
      <c r="H1797" s="5">
        <v>80.2</v>
      </c>
      <c r="I1797" s="3"/>
    </row>
    <row r="1798" customHeight="1" spans="1:9">
      <c r="A1798" s="3" t="str">
        <f t="shared" si="168"/>
        <v>0106</v>
      </c>
      <c r="B1798" s="3" t="s">
        <v>20</v>
      </c>
      <c r="C1798" s="3" t="str">
        <f>"毛思宇"</f>
        <v>毛思宇</v>
      </c>
      <c r="D1798" s="3" t="str">
        <f>"女"</f>
        <v>女</v>
      </c>
      <c r="E1798" s="3" t="str">
        <f>"2507016129"</f>
        <v>2507016129</v>
      </c>
      <c r="F1798" s="3" t="str">
        <f t="shared" si="169"/>
        <v>61</v>
      </c>
      <c r="G1798" s="4" t="str">
        <f>"29"</f>
        <v>29</v>
      </c>
      <c r="H1798" s="5">
        <v>79.8</v>
      </c>
      <c r="I1798" s="3"/>
    </row>
    <row r="1799" customHeight="1" spans="1:9">
      <c r="A1799" s="3" t="str">
        <f t="shared" si="168"/>
        <v>0106</v>
      </c>
      <c r="B1799" s="3" t="s">
        <v>20</v>
      </c>
      <c r="C1799" s="3" t="str">
        <f>"位蔚"</f>
        <v>位蔚</v>
      </c>
      <c r="D1799" s="3" t="str">
        <f>"女"</f>
        <v>女</v>
      </c>
      <c r="E1799" s="3" t="str">
        <f>"2507016130"</f>
        <v>2507016130</v>
      </c>
      <c r="F1799" s="3" t="str">
        <f t="shared" si="169"/>
        <v>61</v>
      </c>
      <c r="G1799" s="4" t="str">
        <f>"30"</f>
        <v>30</v>
      </c>
      <c r="H1799" s="5">
        <v>0</v>
      </c>
      <c r="I1799" s="3" t="s">
        <v>11</v>
      </c>
    </row>
    <row r="1800" customHeight="1" spans="1:9">
      <c r="A1800" s="3" t="str">
        <f t="shared" si="168"/>
        <v>0106</v>
      </c>
      <c r="B1800" s="3" t="s">
        <v>20</v>
      </c>
      <c r="C1800" s="3" t="str">
        <f>"王蕴豪"</f>
        <v>王蕴豪</v>
      </c>
      <c r="D1800" s="3" t="str">
        <f>"男"</f>
        <v>男</v>
      </c>
      <c r="E1800" s="3" t="str">
        <f>"2507016131"</f>
        <v>2507016131</v>
      </c>
      <c r="F1800" s="3" t="str">
        <f t="shared" si="169"/>
        <v>61</v>
      </c>
      <c r="G1800" s="4" t="str">
        <f>"31"</f>
        <v>31</v>
      </c>
      <c r="H1800" s="5">
        <v>0</v>
      </c>
      <c r="I1800" s="3" t="s">
        <v>11</v>
      </c>
    </row>
    <row r="1801" customHeight="1" spans="1:9">
      <c r="A1801" s="3" t="str">
        <f t="shared" si="168"/>
        <v>0106</v>
      </c>
      <c r="B1801" s="3" t="s">
        <v>20</v>
      </c>
      <c r="C1801" s="3" t="str">
        <f>"肖恩赐"</f>
        <v>肖恩赐</v>
      </c>
      <c r="D1801" s="3" t="str">
        <f>"男"</f>
        <v>男</v>
      </c>
      <c r="E1801" s="3" t="str">
        <f>"2507016132"</f>
        <v>2507016132</v>
      </c>
      <c r="F1801" s="3" t="str">
        <f t="shared" si="169"/>
        <v>61</v>
      </c>
      <c r="G1801" s="4" t="str">
        <f>"32"</f>
        <v>32</v>
      </c>
      <c r="H1801" s="5">
        <v>0</v>
      </c>
      <c r="I1801" s="3" t="s">
        <v>11</v>
      </c>
    </row>
    <row r="1802" customHeight="1" spans="1:9">
      <c r="A1802" s="3" t="str">
        <f t="shared" si="168"/>
        <v>0106</v>
      </c>
      <c r="B1802" s="3" t="s">
        <v>20</v>
      </c>
      <c r="C1802" s="3" t="str">
        <f>"李先超"</f>
        <v>李先超</v>
      </c>
      <c r="D1802" s="3" t="str">
        <f>"男"</f>
        <v>男</v>
      </c>
      <c r="E1802" s="3" t="str">
        <f>"2507016201"</f>
        <v>2507016201</v>
      </c>
      <c r="F1802" s="3" t="str">
        <f t="shared" ref="F1802:F1833" si="170">"62"</f>
        <v>62</v>
      </c>
      <c r="G1802" s="4" t="str">
        <f>"01"</f>
        <v>01</v>
      </c>
      <c r="H1802" s="5">
        <v>0</v>
      </c>
      <c r="I1802" s="3" t="s">
        <v>11</v>
      </c>
    </row>
    <row r="1803" customHeight="1" spans="1:9">
      <c r="A1803" s="3" t="str">
        <f t="shared" si="168"/>
        <v>0106</v>
      </c>
      <c r="B1803" s="3" t="s">
        <v>20</v>
      </c>
      <c r="C1803" s="3" t="str">
        <f>"周家辉"</f>
        <v>周家辉</v>
      </c>
      <c r="D1803" s="3" t="str">
        <f>"男"</f>
        <v>男</v>
      </c>
      <c r="E1803" s="3" t="str">
        <f>"2507016202"</f>
        <v>2507016202</v>
      </c>
      <c r="F1803" s="3" t="str">
        <f t="shared" si="170"/>
        <v>62</v>
      </c>
      <c r="G1803" s="4" t="str">
        <f>"02"</f>
        <v>02</v>
      </c>
      <c r="H1803" s="5">
        <v>0</v>
      </c>
      <c r="I1803" s="3" t="s">
        <v>11</v>
      </c>
    </row>
    <row r="1804" customHeight="1" spans="1:9">
      <c r="A1804" s="3" t="str">
        <f t="shared" si="168"/>
        <v>0106</v>
      </c>
      <c r="B1804" s="3" t="s">
        <v>20</v>
      </c>
      <c r="C1804" s="3" t="str">
        <f>"赵芳芳"</f>
        <v>赵芳芳</v>
      </c>
      <c r="D1804" s="3" t="str">
        <f>"女"</f>
        <v>女</v>
      </c>
      <c r="E1804" s="3" t="str">
        <f>"2507016203"</f>
        <v>2507016203</v>
      </c>
      <c r="F1804" s="3" t="str">
        <f t="shared" si="170"/>
        <v>62</v>
      </c>
      <c r="G1804" s="4" t="str">
        <f>"03"</f>
        <v>03</v>
      </c>
      <c r="H1804" s="5">
        <v>71.9</v>
      </c>
      <c r="I1804" s="3"/>
    </row>
    <row r="1805" customHeight="1" spans="1:9">
      <c r="A1805" s="3" t="str">
        <f t="shared" si="168"/>
        <v>0106</v>
      </c>
      <c r="B1805" s="3" t="s">
        <v>20</v>
      </c>
      <c r="C1805" s="3" t="str">
        <f>"杜鹏程"</f>
        <v>杜鹏程</v>
      </c>
      <c r="D1805" s="3" t="str">
        <f>"男"</f>
        <v>男</v>
      </c>
      <c r="E1805" s="3" t="str">
        <f>"2507016204"</f>
        <v>2507016204</v>
      </c>
      <c r="F1805" s="3" t="str">
        <f t="shared" si="170"/>
        <v>62</v>
      </c>
      <c r="G1805" s="4" t="str">
        <f>"04"</f>
        <v>04</v>
      </c>
      <c r="H1805" s="5">
        <v>64</v>
      </c>
      <c r="I1805" s="3"/>
    </row>
    <row r="1806" customHeight="1" spans="1:9">
      <c r="A1806" s="3" t="str">
        <f t="shared" si="168"/>
        <v>0106</v>
      </c>
      <c r="B1806" s="3" t="s">
        <v>20</v>
      </c>
      <c r="C1806" s="3" t="str">
        <f>"刘孝清"</f>
        <v>刘孝清</v>
      </c>
      <c r="D1806" s="3" t="str">
        <f>"男"</f>
        <v>男</v>
      </c>
      <c r="E1806" s="3" t="str">
        <f>"2507016205"</f>
        <v>2507016205</v>
      </c>
      <c r="F1806" s="3" t="str">
        <f t="shared" si="170"/>
        <v>62</v>
      </c>
      <c r="G1806" s="4" t="str">
        <f>"05"</f>
        <v>05</v>
      </c>
      <c r="H1806" s="5">
        <v>64</v>
      </c>
      <c r="I1806" s="3"/>
    </row>
    <row r="1807" customHeight="1" spans="1:9">
      <c r="A1807" s="3" t="str">
        <f t="shared" si="168"/>
        <v>0106</v>
      </c>
      <c r="B1807" s="3" t="s">
        <v>20</v>
      </c>
      <c r="C1807" s="3" t="str">
        <f>"尚晶"</f>
        <v>尚晶</v>
      </c>
      <c r="D1807" s="3" t="str">
        <f>"女"</f>
        <v>女</v>
      </c>
      <c r="E1807" s="3" t="str">
        <f>"2507016206"</f>
        <v>2507016206</v>
      </c>
      <c r="F1807" s="3" t="str">
        <f t="shared" si="170"/>
        <v>62</v>
      </c>
      <c r="G1807" s="4" t="str">
        <f>"06"</f>
        <v>06</v>
      </c>
      <c r="H1807" s="5">
        <v>62.8</v>
      </c>
      <c r="I1807" s="3"/>
    </row>
    <row r="1808" customHeight="1" spans="1:9">
      <c r="A1808" s="3" t="str">
        <f t="shared" si="168"/>
        <v>0106</v>
      </c>
      <c r="B1808" s="3" t="s">
        <v>20</v>
      </c>
      <c r="C1808" s="3" t="str">
        <f>"魏子荐"</f>
        <v>魏子荐</v>
      </c>
      <c r="D1808" s="3" t="str">
        <f>"男"</f>
        <v>男</v>
      </c>
      <c r="E1808" s="3" t="str">
        <f>"2507016207"</f>
        <v>2507016207</v>
      </c>
      <c r="F1808" s="3" t="str">
        <f t="shared" si="170"/>
        <v>62</v>
      </c>
      <c r="G1808" s="4" t="str">
        <f>"07"</f>
        <v>07</v>
      </c>
      <c r="H1808" s="5">
        <v>57</v>
      </c>
      <c r="I1808" s="3"/>
    </row>
    <row r="1809" customHeight="1" spans="1:9">
      <c r="A1809" s="3" t="str">
        <f t="shared" si="168"/>
        <v>0106</v>
      </c>
      <c r="B1809" s="3" t="s">
        <v>20</v>
      </c>
      <c r="C1809" s="3" t="str">
        <f>"徐轩"</f>
        <v>徐轩</v>
      </c>
      <c r="D1809" s="3" t="str">
        <f>"男"</f>
        <v>男</v>
      </c>
      <c r="E1809" s="3" t="str">
        <f>"2507016208"</f>
        <v>2507016208</v>
      </c>
      <c r="F1809" s="3" t="str">
        <f t="shared" si="170"/>
        <v>62</v>
      </c>
      <c r="G1809" s="4" t="str">
        <f>"08"</f>
        <v>08</v>
      </c>
      <c r="H1809" s="5">
        <v>67.1</v>
      </c>
      <c r="I1809" s="3"/>
    </row>
    <row r="1810" customHeight="1" spans="1:9">
      <c r="A1810" s="3" t="str">
        <f t="shared" si="168"/>
        <v>0106</v>
      </c>
      <c r="B1810" s="3" t="s">
        <v>20</v>
      </c>
      <c r="C1810" s="3" t="str">
        <f>"李帅"</f>
        <v>李帅</v>
      </c>
      <c r="D1810" s="3" t="str">
        <f>"男"</f>
        <v>男</v>
      </c>
      <c r="E1810" s="3" t="str">
        <f>"2507016209"</f>
        <v>2507016209</v>
      </c>
      <c r="F1810" s="3" t="str">
        <f t="shared" si="170"/>
        <v>62</v>
      </c>
      <c r="G1810" s="4" t="str">
        <f>"09"</f>
        <v>09</v>
      </c>
      <c r="H1810" s="5">
        <v>72.1</v>
      </c>
      <c r="I1810" s="3"/>
    </row>
    <row r="1811" customHeight="1" spans="1:9">
      <c r="A1811" s="3" t="str">
        <f t="shared" si="168"/>
        <v>0106</v>
      </c>
      <c r="B1811" s="3" t="s">
        <v>20</v>
      </c>
      <c r="C1811" s="3" t="str">
        <f>"张瀚文"</f>
        <v>张瀚文</v>
      </c>
      <c r="D1811" s="3" t="str">
        <f>"女"</f>
        <v>女</v>
      </c>
      <c r="E1811" s="3" t="str">
        <f>"2507016210"</f>
        <v>2507016210</v>
      </c>
      <c r="F1811" s="3" t="str">
        <f t="shared" si="170"/>
        <v>62</v>
      </c>
      <c r="G1811" s="4" t="str">
        <f>"10"</f>
        <v>10</v>
      </c>
      <c r="H1811" s="5">
        <v>0</v>
      </c>
      <c r="I1811" s="3" t="s">
        <v>11</v>
      </c>
    </row>
    <row r="1812" customHeight="1" spans="1:9">
      <c r="A1812" s="3" t="str">
        <f t="shared" si="168"/>
        <v>0106</v>
      </c>
      <c r="B1812" s="3" t="s">
        <v>20</v>
      </c>
      <c r="C1812" s="3" t="str">
        <f>"张恩惠"</f>
        <v>张恩惠</v>
      </c>
      <c r="D1812" s="3" t="str">
        <f>"女"</f>
        <v>女</v>
      </c>
      <c r="E1812" s="3" t="str">
        <f>"2507016211"</f>
        <v>2507016211</v>
      </c>
      <c r="F1812" s="3" t="str">
        <f t="shared" si="170"/>
        <v>62</v>
      </c>
      <c r="G1812" s="4" t="str">
        <f>"11"</f>
        <v>11</v>
      </c>
      <c r="H1812" s="5">
        <v>0</v>
      </c>
      <c r="I1812" s="3" t="s">
        <v>11</v>
      </c>
    </row>
    <row r="1813" customHeight="1" spans="1:9">
      <c r="A1813" s="3" t="str">
        <f t="shared" si="168"/>
        <v>0106</v>
      </c>
      <c r="B1813" s="3" t="s">
        <v>20</v>
      </c>
      <c r="C1813" s="3" t="str">
        <f>"孙未雨"</f>
        <v>孙未雨</v>
      </c>
      <c r="D1813" s="3" t="str">
        <f>"男"</f>
        <v>男</v>
      </c>
      <c r="E1813" s="3" t="str">
        <f>"2507016212"</f>
        <v>2507016212</v>
      </c>
      <c r="F1813" s="3" t="str">
        <f t="shared" si="170"/>
        <v>62</v>
      </c>
      <c r="G1813" s="4" t="str">
        <f>"12"</f>
        <v>12</v>
      </c>
      <c r="H1813" s="5">
        <v>0</v>
      </c>
      <c r="I1813" s="3" t="s">
        <v>11</v>
      </c>
    </row>
    <row r="1814" customHeight="1" spans="1:9">
      <c r="A1814" s="3" t="str">
        <f t="shared" si="168"/>
        <v>0106</v>
      </c>
      <c r="B1814" s="3" t="s">
        <v>20</v>
      </c>
      <c r="C1814" s="3" t="str">
        <f>"董钊"</f>
        <v>董钊</v>
      </c>
      <c r="D1814" s="3" t="str">
        <f>"男"</f>
        <v>男</v>
      </c>
      <c r="E1814" s="3" t="str">
        <f>"2507016213"</f>
        <v>2507016213</v>
      </c>
      <c r="F1814" s="3" t="str">
        <f t="shared" si="170"/>
        <v>62</v>
      </c>
      <c r="G1814" s="4" t="str">
        <f>"13"</f>
        <v>13</v>
      </c>
      <c r="H1814" s="5">
        <v>76.3</v>
      </c>
      <c r="I1814" s="3"/>
    </row>
    <row r="1815" customHeight="1" spans="1:9">
      <c r="A1815" s="3" t="str">
        <f t="shared" ref="A1815:A1833" si="171">"0106"</f>
        <v>0106</v>
      </c>
      <c r="B1815" s="3" t="s">
        <v>20</v>
      </c>
      <c r="C1815" s="3" t="str">
        <f>"李保嘉"</f>
        <v>李保嘉</v>
      </c>
      <c r="D1815" s="3" t="str">
        <f>"男"</f>
        <v>男</v>
      </c>
      <c r="E1815" s="3" t="str">
        <f>"2507016214"</f>
        <v>2507016214</v>
      </c>
      <c r="F1815" s="3" t="str">
        <f t="shared" si="170"/>
        <v>62</v>
      </c>
      <c r="G1815" s="4" t="str">
        <f>"14"</f>
        <v>14</v>
      </c>
      <c r="H1815" s="5">
        <v>76.1</v>
      </c>
      <c r="I1815" s="3"/>
    </row>
    <row r="1816" customHeight="1" spans="1:9">
      <c r="A1816" s="3" t="str">
        <f t="shared" si="171"/>
        <v>0106</v>
      </c>
      <c r="B1816" s="3" t="s">
        <v>20</v>
      </c>
      <c r="C1816" s="3" t="str">
        <f>"刘硕"</f>
        <v>刘硕</v>
      </c>
      <c r="D1816" s="3" t="str">
        <f>"男"</f>
        <v>男</v>
      </c>
      <c r="E1816" s="3" t="str">
        <f>"2507016215"</f>
        <v>2507016215</v>
      </c>
      <c r="F1816" s="3" t="str">
        <f t="shared" si="170"/>
        <v>62</v>
      </c>
      <c r="G1816" s="4" t="str">
        <f>"15"</f>
        <v>15</v>
      </c>
      <c r="H1816" s="5">
        <v>77.2</v>
      </c>
      <c r="I1816" s="3"/>
    </row>
    <row r="1817" customHeight="1" spans="1:9">
      <c r="A1817" s="3" t="str">
        <f t="shared" si="171"/>
        <v>0106</v>
      </c>
      <c r="B1817" s="3" t="s">
        <v>20</v>
      </c>
      <c r="C1817" s="3" t="str">
        <f>"李喆"</f>
        <v>李喆</v>
      </c>
      <c r="D1817" s="3" t="str">
        <f>"女"</f>
        <v>女</v>
      </c>
      <c r="E1817" s="3" t="str">
        <f>"2507016216"</f>
        <v>2507016216</v>
      </c>
      <c r="F1817" s="3" t="str">
        <f t="shared" si="170"/>
        <v>62</v>
      </c>
      <c r="G1817" s="4" t="str">
        <f>"16"</f>
        <v>16</v>
      </c>
      <c r="H1817" s="5">
        <v>0</v>
      </c>
      <c r="I1817" s="3" t="s">
        <v>11</v>
      </c>
    </row>
    <row r="1818" customHeight="1" spans="1:9">
      <c r="A1818" s="3" t="str">
        <f t="shared" si="171"/>
        <v>0106</v>
      </c>
      <c r="B1818" s="3" t="s">
        <v>20</v>
      </c>
      <c r="C1818" s="3" t="str">
        <f>"贾建宏"</f>
        <v>贾建宏</v>
      </c>
      <c r="D1818" s="3" t="str">
        <f>"男"</f>
        <v>男</v>
      </c>
      <c r="E1818" s="3" t="str">
        <f>"2507016217"</f>
        <v>2507016217</v>
      </c>
      <c r="F1818" s="3" t="str">
        <f t="shared" si="170"/>
        <v>62</v>
      </c>
      <c r="G1818" s="4" t="str">
        <f>"17"</f>
        <v>17</v>
      </c>
      <c r="H1818" s="5">
        <v>80.8</v>
      </c>
      <c r="I1818" s="3"/>
    </row>
    <row r="1819" customHeight="1" spans="1:9">
      <c r="A1819" s="3" t="str">
        <f t="shared" si="171"/>
        <v>0106</v>
      </c>
      <c r="B1819" s="3" t="s">
        <v>20</v>
      </c>
      <c r="C1819" s="3" t="str">
        <f>"位静静"</f>
        <v>位静静</v>
      </c>
      <c r="D1819" s="3" t="str">
        <f>"女"</f>
        <v>女</v>
      </c>
      <c r="E1819" s="3" t="str">
        <f>"2507016218"</f>
        <v>2507016218</v>
      </c>
      <c r="F1819" s="3" t="str">
        <f t="shared" si="170"/>
        <v>62</v>
      </c>
      <c r="G1819" s="4" t="str">
        <f>"18"</f>
        <v>18</v>
      </c>
      <c r="H1819" s="5">
        <v>78.8</v>
      </c>
      <c r="I1819" s="3"/>
    </row>
    <row r="1820" customHeight="1" spans="1:9">
      <c r="A1820" s="3" t="str">
        <f t="shared" si="171"/>
        <v>0106</v>
      </c>
      <c r="B1820" s="3" t="s">
        <v>20</v>
      </c>
      <c r="C1820" s="3" t="str">
        <f>"张强"</f>
        <v>张强</v>
      </c>
      <c r="D1820" s="3" t="str">
        <f t="shared" ref="D1820:D1826" si="172">"男"</f>
        <v>男</v>
      </c>
      <c r="E1820" s="3" t="str">
        <f>"2507016219"</f>
        <v>2507016219</v>
      </c>
      <c r="F1820" s="3" t="str">
        <f t="shared" si="170"/>
        <v>62</v>
      </c>
      <c r="G1820" s="4" t="str">
        <f>"19"</f>
        <v>19</v>
      </c>
      <c r="H1820" s="5">
        <v>73.6</v>
      </c>
      <c r="I1820" s="3"/>
    </row>
    <row r="1821" customHeight="1" spans="1:9">
      <c r="A1821" s="3" t="str">
        <f t="shared" si="171"/>
        <v>0106</v>
      </c>
      <c r="B1821" s="3" t="s">
        <v>20</v>
      </c>
      <c r="C1821" s="3" t="str">
        <f>"于涛"</f>
        <v>于涛</v>
      </c>
      <c r="D1821" s="3" t="str">
        <f t="shared" si="172"/>
        <v>男</v>
      </c>
      <c r="E1821" s="3" t="str">
        <f>"2507016220"</f>
        <v>2507016220</v>
      </c>
      <c r="F1821" s="3" t="str">
        <f t="shared" si="170"/>
        <v>62</v>
      </c>
      <c r="G1821" s="4" t="str">
        <f>"20"</f>
        <v>20</v>
      </c>
      <c r="H1821" s="5">
        <v>80.2</v>
      </c>
      <c r="I1821" s="3"/>
    </row>
    <row r="1822" customHeight="1" spans="1:9">
      <c r="A1822" s="3" t="str">
        <f t="shared" si="171"/>
        <v>0106</v>
      </c>
      <c r="B1822" s="3" t="s">
        <v>20</v>
      </c>
      <c r="C1822" s="3" t="str">
        <f>"王启航"</f>
        <v>王启航</v>
      </c>
      <c r="D1822" s="3" t="str">
        <f t="shared" si="172"/>
        <v>男</v>
      </c>
      <c r="E1822" s="3" t="str">
        <f>"2507016221"</f>
        <v>2507016221</v>
      </c>
      <c r="F1822" s="3" t="str">
        <f t="shared" si="170"/>
        <v>62</v>
      </c>
      <c r="G1822" s="4" t="str">
        <f>"21"</f>
        <v>21</v>
      </c>
      <c r="H1822" s="5">
        <v>0</v>
      </c>
      <c r="I1822" s="3" t="s">
        <v>11</v>
      </c>
    </row>
    <row r="1823" customHeight="1" spans="1:9">
      <c r="A1823" s="3" t="str">
        <f t="shared" si="171"/>
        <v>0106</v>
      </c>
      <c r="B1823" s="3" t="s">
        <v>20</v>
      </c>
      <c r="C1823" s="3" t="str">
        <f>"赵润泽"</f>
        <v>赵润泽</v>
      </c>
      <c r="D1823" s="3" t="str">
        <f t="shared" si="172"/>
        <v>男</v>
      </c>
      <c r="E1823" s="3" t="str">
        <f>"2507016222"</f>
        <v>2507016222</v>
      </c>
      <c r="F1823" s="3" t="str">
        <f t="shared" si="170"/>
        <v>62</v>
      </c>
      <c r="G1823" s="4" t="str">
        <f>"22"</f>
        <v>22</v>
      </c>
      <c r="H1823" s="5">
        <v>77.6</v>
      </c>
      <c r="I1823" s="3"/>
    </row>
    <row r="1824" customHeight="1" spans="1:9">
      <c r="A1824" s="3" t="str">
        <f t="shared" si="171"/>
        <v>0106</v>
      </c>
      <c r="B1824" s="3" t="s">
        <v>20</v>
      </c>
      <c r="C1824" s="3" t="str">
        <f>"陈策"</f>
        <v>陈策</v>
      </c>
      <c r="D1824" s="3" t="str">
        <f t="shared" si="172"/>
        <v>男</v>
      </c>
      <c r="E1824" s="3" t="str">
        <f>"2507016223"</f>
        <v>2507016223</v>
      </c>
      <c r="F1824" s="3" t="str">
        <f t="shared" si="170"/>
        <v>62</v>
      </c>
      <c r="G1824" s="4" t="str">
        <f>"23"</f>
        <v>23</v>
      </c>
      <c r="H1824" s="5">
        <v>71.9</v>
      </c>
      <c r="I1824" s="3"/>
    </row>
    <row r="1825" customHeight="1" spans="1:9">
      <c r="A1825" s="3" t="str">
        <f t="shared" si="171"/>
        <v>0106</v>
      </c>
      <c r="B1825" s="3" t="s">
        <v>20</v>
      </c>
      <c r="C1825" s="3" t="str">
        <f>"林家宝"</f>
        <v>林家宝</v>
      </c>
      <c r="D1825" s="3" t="str">
        <f t="shared" si="172"/>
        <v>男</v>
      </c>
      <c r="E1825" s="3" t="str">
        <f>"2507016224"</f>
        <v>2507016224</v>
      </c>
      <c r="F1825" s="3" t="str">
        <f t="shared" si="170"/>
        <v>62</v>
      </c>
      <c r="G1825" s="4" t="str">
        <f>"24"</f>
        <v>24</v>
      </c>
      <c r="H1825" s="5">
        <v>74.1</v>
      </c>
      <c r="I1825" s="3"/>
    </row>
    <row r="1826" customHeight="1" spans="1:9">
      <c r="A1826" s="3" t="str">
        <f t="shared" si="171"/>
        <v>0106</v>
      </c>
      <c r="B1826" s="3" t="s">
        <v>20</v>
      </c>
      <c r="C1826" s="3" t="str">
        <f>"李平"</f>
        <v>李平</v>
      </c>
      <c r="D1826" s="3" t="str">
        <f t="shared" si="172"/>
        <v>男</v>
      </c>
      <c r="E1826" s="3" t="str">
        <f>"2507016225"</f>
        <v>2507016225</v>
      </c>
      <c r="F1826" s="3" t="str">
        <f t="shared" si="170"/>
        <v>62</v>
      </c>
      <c r="G1826" s="4" t="str">
        <f>"25"</f>
        <v>25</v>
      </c>
      <c r="H1826" s="5">
        <v>72.7</v>
      </c>
      <c r="I1826" s="3"/>
    </row>
    <row r="1827" customHeight="1" spans="1:9">
      <c r="A1827" s="3" t="str">
        <f t="shared" si="171"/>
        <v>0106</v>
      </c>
      <c r="B1827" s="3" t="s">
        <v>20</v>
      </c>
      <c r="C1827" s="3" t="str">
        <f>"潘肖肖"</f>
        <v>潘肖肖</v>
      </c>
      <c r="D1827" s="3" t="str">
        <f>"女"</f>
        <v>女</v>
      </c>
      <c r="E1827" s="3" t="str">
        <f>"2507016226"</f>
        <v>2507016226</v>
      </c>
      <c r="F1827" s="3" t="str">
        <f t="shared" si="170"/>
        <v>62</v>
      </c>
      <c r="G1827" s="4" t="str">
        <f>"26"</f>
        <v>26</v>
      </c>
      <c r="H1827" s="5">
        <v>58.3</v>
      </c>
      <c r="I1827" s="3"/>
    </row>
    <row r="1828" customHeight="1" spans="1:9">
      <c r="A1828" s="3" t="str">
        <f t="shared" si="171"/>
        <v>0106</v>
      </c>
      <c r="B1828" s="3" t="s">
        <v>20</v>
      </c>
      <c r="C1828" s="3" t="str">
        <f>"沈成"</f>
        <v>沈成</v>
      </c>
      <c r="D1828" s="3" t="str">
        <f>"男"</f>
        <v>男</v>
      </c>
      <c r="E1828" s="3" t="str">
        <f>"2507016227"</f>
        <v>2507016227</v>
      </c>
      <c r="F1828" s="3" t="str">
        <f t="shared" si="170"/>
        <v>62</v>
      </c>
      <c r="G1828" s="4" t="str">
        <f>"27"</f>
        <v>27</v>
      </c>
      <c r="H1828" s="5">
        <v>75.8</v>
      </c>
      <c r="I1828" s="3"/>
    </row>
    <row r="1829" customHeight="1" spans="1:9">
      <c r="A1829" s="3" t="str">
        <f t="shared" si="171"/>
        <v>0106</v>
      </c>
      <c r="B1829" s="3" t="s">
        <v>20</v>
      </c>
      <c r="C1829" s="3" t="str">
        <f>"邢婉婉"</f>
        <v>邢婉婉</v>
      </c>
      <c r="D1829" s="3" t="str">
        <f>"女"</f>
        <v>女</v>
      </c>
      <c r="E1829" s="3" t="str">
        <f>"2507016228"</f>
        <v>2507016228</v>
      </c>
      <c r="F1829" s="3" t="str">
        <f t="shared" si="170"/>
        <v>62</v>
      </c>
      <c r="G1829" s="4" t="str">
        <f>"28"</f>
        <v>28</v>
      </c>
      <c r="H1829" s="5">
        <v>0</v>
      </c>
      <c r="I1829" s="3" t="s">
        <v>11</v>
      </c>
    </row>
    <row r="1830" customHeight="1" spans="1:9">
      <c r="A1830" s="3" t="str">
        <f t="shared" si="171"/>
        <v>0106</v>
      </c>
      <c r="B1830" s="3" t="s">
        <v>20</v>
      </c>
      <c r="C1830" s="3" t="str">
        <f>"陈轩"</f>
        <v>陈轩</v>
      </c>
      <c r="D1830" s="3" t="str">
        <f>"男"</f>
        <v>男</v>
      </c>
      <c r="E1830" s="3" t="str">
        <f>"2507016229"</f>
        <v>2507016229</v>
      </c>
      <c r="F1830" s="3" t="str">
        <f t="shared" si="170"/>
        <v>62</v>
      </c>
      <c r="G1830" s="4" t="str">
        <f>"29"</f>
        <v>29</v>
      </c>
      <c r="H1830" s="5">
        <v>72.5</v>
      </c>
      <c r="I1830" s="3"/>
    </row>
    <row r="1831" customHeight="1" spans="1:9">
      <c r="A1831" s="3" t="str">
        <f t="shared" si="171"/>
        <v>0106</v>
      </c>
      <c r="B1831" s="3" t="s">
        <v>20</v>
      </c>
      <c r="C1831" s="3" t="str">
        <f>"张天时"</f>
        <v>张天时</v>
      </c>
      <c r="D1831" s="3" t="str">
        <f>"男"</f>
        <v>男</v>
      </c>
      <c r="E1831" s="3" t="str">
        <f>"2507016230"</f>
        <v>2507016230</v>
      </c>
      <c r="F1831" s="3" t="str">
        <f t="shared" si="170"/>
        <v>62</v>
      </c>
      <c r="G1831" s="4" t="str">
        <f>"30"</f>
        <v>30</v>
      </c>
      <c r="H1831" s="5">
        <v>43.6</v>
      </c>
      <c r="I1831" s="3"/>
    </row>
    <row r="1832" customHeight="1" spans="1:9">
      <c r="A1832" s="3" t="str">
        <f t="shared" si="171"/>
        <v>0106</v>
      </c>
      <c r="B1832" s="3" t="s">
        <v>20</v>
      </c>
      <c r="C1832" s="3" t="str">
        <f>"张志坚"</f>
        <v>张志坚</v>
      </c>
      <c r="D1832" s="3" t="str">
        <f>"男"</f>
        <v>男</v>
      </c>
      <c r="E1832" s="3" t="str">
        <f>"2507016231"</f>
        <v>2507016231</v>
      </c>
      <c r="F1832" s="3" t="str">
        <f t="shared" si="170"/>
        <v>62</v>
      </c>
      <c r="G1832" s="4" t="str">
        <f>"31"</f>
        <v>31</v>
      </c>
      <c r="H1832" s="5">
        <v>72.2</v>
      </c>
      <c r="I1832" s="3"/>
    </row>
    <row r="1833" customHeight="1" spans="1:9">
      <c r="A1833" s="3" t="str">
        <f t="shared" si="171"/>
        <v>0106</v>
      </c>
      <c r="B1833" s="3" t="s">
        <v>20</v>
      </c>
      <c r="C1833" s="3" t="str">
        <f>"郝硕"</f>
        <v>郝硕</v>
      </c>
      <c r="D1833" s="3" t="str">
        <f>"男"</f>
        <v>男</v>
      </c>
      <c r="E1833" s="3" t="str">
        <f>"2507016232"</f>
        <v>2507016232</v>
      </c>
      <c r="F1833" s="3" t="str">
        <f t="shared" si="170"/>
        <v>62</v>
      </c>
      <c r="G1833" s="4" t="str">
        <f>"32"</f>
        <v>32</v>
      </c>
      <c r="H1833" s="5">
        <v>0</v>
      </c>
      <c r="I1833" s="3" t="s">
        <v>11</v>
      </c>
    </row>
    <row r="1834" customHeight="1" spans="1:9">
      <c r="A1834" s="3" t="str">
        <f t="shared" ref="A1834:A1897" si="173">"0101"</f>
        <v>0101</v>
      </c>
      <c r="B1834" s="3" t="s">
        <v>21</v>
      </c>
      <c r="C1834" s="3" t="str">
        <f>"田蜜"</f>
        <v>田蜜</v>
      </c>
      <c r="D1834" s="3" t="str">
        <f>"女"</f>
        <v>女</v>
      </c>
      <c r="E1834" s="3" t="str">
        <f>"2507016301"</f>
        <v>2507016301</v>
      </c>
      <c r="F1834" s="3" t="str">
        <f t="shared" ref="F1834:F1863" si="174">"63"</f>
        <v>63</v>
      </c>
      <c r="G1834" s="4" t="str">
        <f>"01"</f>
        <v>01</v>
      </c>
      <c r="H1834" s="5">
        <v>0</v>
      </c>
      <c r="I1834" s="3" t="s">
        <v>11</v>
      </c>
    </row>
    <row r="1835" customHeight="1" spans="1:9">
      <c r="A1835" s="3" t="str">
        <f t="shared" si="173"/>
        <v>0101</v>
      </c>
      <c r="B1835" s="3" t="s">
        <v>21</v>
      </c>
      <c r="C1835" s="3" t="str">
        <f>"张旭冉"</f>
        <v>张旭冉</v>
      </c>
      <c r="D1835" s="3" t="str">
        <f>"女"</f>
        <v>女</v>
      </c>
      <c r="E1835" s="3" t="str">
        <f>"2507016302"</f>
        <v>2507016302</v>
      </c>
      <c r="F1835" s="3" t="str">
        <f t="shared" si="174"/>
        <v>63</v>
      </c>
      <c r="G1835" s="4" t="str">
        <f>"02"</f>
        <v>02</v>
      </c>
      <c r="H1835" s="5">
        <v>81.3</v>
      </c>
      <c r="I1835" s="3"/>
    </row>
    <row r="1836" customHeight="1" spans="1:9">
      <c r="A1836" s="3" t="str">
        <f t="shared" si="173"/>
        <v>0101</v>
      </c>
      <c r="B1836" s="3" t="s">
        <v>21</v>
      </c>
      <c r="C1836" s="3" t="str">
        <f>"顾家诚"</f>
        <v>顾家诚</v>
      </c>
      <c r="D1836" s="3" t="str">
        <f>"男"</f>
        <v>男</v>
      </c>
      <c r="E1836" s="3" t="str">
        <f>"2507016303"</f>
        <v>2507016303</v>
      </c>
      <c r="F1836" s="3" t="str">
        <f t="shared" si="174"/>
        <v>63</v>
      </c>
      <c r="G1836" s="4" t="str">
        <f>"03"</f>
        <v>03</v>
      </c>
      <c r="H1836" s="5">
        <v>75.2</v>
      </c>
      <c r="I1836" s="3"/>
    </row>
    <row r="1837" customHeight="1" spans="1:9">
      <c r="A1837" s="3" t="str">
        <f t="shared" si="173"/>
        <v>0101</v>
      </c>
      <c r="B1837" s="3" t="s">
        <v>21</v>
      </c>
      <c r="C1837" s="3" t="str">
        <f>"侯安香"</f>
        <v>侯安香</v>
      </c>
      <c r="D1837" s="3" t="str">
        <f>"女"</f>
        <v>女</v>
      </c>
      <c r="E1837" s="3" t="str">
        <f>"2507016304"</f>
        <v>2507016304</v>
      </c>
      <c r="F1837" s="3" t="str">
        <f t="shared" si="174"/>
        <v>63</v>
      </c>
      <c r="G1837" s="4" t="str">
        <f>"04"</f>
        <v>04</v>
      </c>
      <c r="H1837" s="5">
        <v>75.7</v>
      </c>
      <c r="I1837" s="3"/>
    </row>
    <row r="1838" customHeight="1" spans="1:9">
      <c r="A1838" s="3" t="str">
        <f t="shared" si="173"/>
        <v>0101</v>
      </c>
      <c r="B1838" s="3" t="s">
        <v>21</v>
      </c>
      <c r="C1838" s="3" t="str">
        <f>"吴秋实"</f>
        <v>吴秋实</v>
      </c>
      <c r="D1838" s="3" t="str">
        <f>"男"</f>
        <v>男</v>
      </c>
      <c r="E1838" s="3" t="str">
        <f>"2507016305"</f>
        <v>2507016305</v>
      </c>
      <c r="F1838" s="3" t="str">
        <f t="shared" si="174"/>
        <v>63</v>
      </c>
      <c r="G1838" s="4" t="str">
        <f>"05"</f>
        <v>05</v>
      </c>
      <c r="H1838" s="5">
        <v>78.3</v>
      </c>
      <c r="I1838" s="3"/>
    </row>
    <row r="1839" customHeight="1" spans="1:9">
      <c r="A1839" s="3" t="str">
        <f t="shared" si="173"/>
        <v>0101</v>
      </c>
      <c r="B1839" s="3" t="s">
        <v>21</v>
      </c>
      <c r="C1839" s="3" t="str">
        <f>"王芳"</f>
        <v>王芳</v>
      </c>
      <c r="D1839" s="3" t="str">
        <f>"女"</f>
        <v>女</v>
      </c>
      <c r="E1839" s="3" t="str">
        <f>"2507016306"</f>
        <v>2507016306</v>
      </c>
      <c r="F1839" s="3" t="str">
        <f t="shared" si="174"/>
        <v>63</v>
      </c>
      <c r="G1839" s="4" t="str">
        <f>"06"</f>
        <v>06</v>
      </c>
      <c r="H1839" s="5">
        <v>0</v>
      </c>
      <c r="I1839" s="3" t="s">
        <v>11</v>
      </c>
    </row>
    <row r="1840" customHeight="1" spans="1:9">
      <c r="A1840" s="3" t="str">
        <f t="shared" si="173"/>
        <v>0101</v>
      </c>
      <c r="B1840" s="3" t="s">
        <v>21</v>
      </c>
      <c r="C1840" s="3" t="str">
        <f>"张淑晨"</f>
        <v>张淑晨</v>
      </c>
      <c r="D1840" s="3" t="str">
        <f>"女"</f>
        <v>女</v>
      </c>
      <c r="E1840" s="3" t="str">
        <f>"2507016307"</f>
        <v>2507016307</v>
      </c>
      <c r="F1840" s="3" t="str">
        <f t="shared" si="174"/>
        <v>63</v>
      </c>
      <c r="G1840" s="4" t="str">
        <f>"07"</f>
        <v>07</v>
      </c>
      <c r="H1840" s="5">
        <v>80.8</v>
      </c>
      <c r="I1840" s="3"/>
    </row>
    <row r="1841" customHeight="1" spans="1:9">
      <c r="A1841" s="3" t="str">
        <f t="shared" si="173"/>
        <v>0101</v>
      </c>
      <c r="B1841" s="3" t="s">
        <v>21</v>
      </c>
      <c r="C1841" s="3" t="str">
        <f>"王义涵"</f>
        <v>王义涵</v>
      </c>
      <c r="D1841" s="3" t="str">
        <f>"男"</f>
        <v>男</v>
      </c>
      <c r="E1841" s="3" t="str">
        <f>"2507016308"</f>
        <v>2507016308</v>
      </c>
      <c r="F1841" s="3" t="str">
        <f t="shared" si="174"/>
        <v>63</v>
      </c>
      <c r="G1841" s="4" t="str">
        <f>"08"</f>
        <v>08</v>
      </c>
      <c r="H1841" s="5">
        <v>72.6</v>
      </c>
      <c r="I1841" s="3"/>
    </row>
    <row r="1842" customHeight="1" spans="1:9">
      <c r="A1842" s="3" t="str">
        <f t="shared" si="173"/>
        <v>0101</v>
      </c>
      <c r="B1842" s="3" t="s">
        <v>21</v>
      </c>
      <c r="C1842" s="3" t="str">
        <f>"渠颖"</f>
        <v>渠颖</v>
      </c>
      <c r="D1842" s="3" t="str">
        <f t="shared" ref="D1842:D1853" si="175">"女"</f>
        <v>女</v>
      </c>
      <c r="E1842" s="3" t="str">
        <f>"2507016309"</f>
        <v>2507016309</v>
      </c>
      <c r="F1842" s="3" t="str">
        <f t="shared" si="174"/>
        <v>63</v>
      </c>
      <c r="G1842" s="4" t="str">
        <f>"09"</f>
        <v>09</v>
      </c>
      <c r="H1842" s="5">
        <v>68.5</v>
      </c>
      <c r="I1842" s="3"/>
    </row>
    <row r="1843" customHeight="1" spans="1:9">
      <c r="A1843" s="3" t="str">
        <f t="shared" si="173"/>
        <v>0101</v>
      </c>
      <c r="B1843" s="3" t="s">
        <v>21</v>
      </c>
      <c r="C1843" s="3" t="str">
        <f>"田卉群"</f>
        <v>田卉群</v>
      </c>
      <c r="D1843" s="3" t="str">
        <f t="shared" si="175"/>
        <v>女</v>
      </c>
      <c r="E1843" s="3" t="str">
        <f>"2507016310"</f>
        <v>2507016310</v>
      </c>
      <c r="F1843" s="3" t="str">
        <f t="shared" si="174"/>
        <v>63</v>
      </c>
      <c r="G1843" s="4" t="str">
        <f>"10"</f>
        <v>10</v>
      </c>
      <c r="H1843" s="5">
        <v>63.7</v>
      </c>
      <c r="I1843" s="3"/>
    </row>
    <row r="1844" customHeight="1" spans="1:9">
      <c r="A1844" s="3" t="str">
        <f t="shared" si="173"/>
        <v>0101</v>
      </c>
      <c r="B1844" s="3" t="s">
        <v>21</v>
      </c>
      <c r="C1844" s="3" t="str">
        <f>"陈彦伶"</f>
        <v>陈彦伶</v>
      </c>
      <c r="D1844" s="3" t="str">
        <f t="shared" si="175"/>
        <v>女</v>
      </c>
      <c r="E1844" s="3" t="str">
        <f>"2507016311"</f>
        <v>2507016311</v>
      </c>
      <c r="F1844" s="3" t="str">
        <f t="shared" si="174"/>
        <v>63</v>
      </c>
      <c r="G1844" s="4" t="str">
        <f>"11"</f>
        <v>11</v>
      </c>
      <c r="H1844" s="5">
        <v>0</v>
      </c>
      <c r="I1844" s="3" t="s">
        <v>11</v>
      </c>
    </row>
    <row r="1845" customHeight="1" spans="1:9">
      <c r="A1845" s="3" t="str">
        <f t="shared" si="173"/>
        <v>0101</v>
      </c>
      <c r="B1845" s="3" t="s">
        <v>21</v>
      </c>
      <c r="C1845" s="3" t="str">
        <f>"李语哲"</f>
        <v>李语哲</v>
      </c>
      <c r="D1845" s="3" t="str">
        <f t="shared" si="175"/>
        <v>女</v>
      </c>
      <c r="E1845" s="3" t="str">
        <f>"2507016312"</f>
        <v>2507016312</v>
      </c>
      <c r="F1845" s="3" t="str">
        <f t="shared" si="174"/>
        <v>63</v>
      </c>
      <c r="G1845" s="4" t="str">
        <f>"12"</f>
        <v>12</v>
      </c>
      <c r="H1845" s="5">
        <v>77.8</v>
      </c>
      <c r="I1845" s="3"/>
    </row>
    <row r="1846" customHeight="1" spans="1:9">
      <c r="A1846" s="3" t="str">
        <f t="shared" si="173"/>
        <v>0101</v>
      </c>
      <c r="B1846" s="3" t="s">
        <v>21</v>
      </c>
      <c r="C1846" s="3" t="str">
        <f>"赵靖瑶"</f>
        <v>赵靖瑶</v>
      </c>
      <c r="D1846" s="3" t="str">
        <f t="shared" si="175"/>
        <v>女</v>
      </c>
      <c r="E1846" s="3" t="str">
        <f>"2507016313"</f>
        <v>2507016313</v>
      </c>
      <c r="F1846" s="3" t="str">
        <f t="shared" si="174"/>
        <v>63</v>
      </c>
      <c r="G1846" s="4" t="str">
        <f>"13"</f>
        <v>13</v>
      </c>
      <c r="H1846" s="5">
        <v>0</v>
      </c>
      <c r="I1846" s="3" t="s">
        <v>11</v>
      </c>
    </row>
    <row r="1847" customHeight="1" spans="1:9">
      <c r="A1847" s="3" t="str">
        <f t="shared" si="173"/>
        <v>0101</v>
      </c>
      <c r="B1847" s="3" t="s">
        <v>21</v>
      </c>
      <c r="C1847" s="3" t="str">
        <f>"陆舒畅"</f>
        <v>陆舒畅</v>
      </c>
      <c r="D1847" s="3" t="str">
        <f t="shared" si="175"/>
        <v>女</v>
      </c>
      <c r="E1847" s="3" t="str">
        <f>"2507016314"</f>
        <v>2507016314</v>
      </c>
      <c r="F1847" s="3" t="str">
        <f t="shared" si="174"/>
        <v>63</v>
      </c>
      <c r="G1847" s="4" t="str">
        <f>"14"</f>
        <v>14</v>
      </c>
      <c r="H1847" s="5">
        <v>69.8</v>
      </c>
      <c r="I1847" s="3"/>
    </row>
    <row r="1848" customHeight="1" spans="1:9">
      <c r="A1848" s="3" t="str">
        <f t="shared" si="173"/>
        <v>0101</v>
      </c>
      <c r="B1848" s="3" t="s">
        <v>21</v>
      </c>
      <c r="C1848" s="3" t="str">
        <f>"张楸涵"</f>
        <v>张楸涵</v>
      </c>
      <c r="D1848" s="3" t="str">
        <f t="shared" si="175"/>
        <v>女</v>
      </c>
      <c r="E1848" s="3" t="str">
        <f>"2507016315"</f>
        <v>2507016315</v>
      </c>
      <c r="F1848" s="3" t="str">
        <f t="shared" si="174"/>
        <v>63</v>
      </c>
      <c r="G1848" s="4" t="str">
        <f>"15"</f>
        <v>15</v>
      </c>
      <c r="H1848" s="5">
        <v>72</v>
      </c>
      <c r="I1848" s="3"/>
    </row>
    <row r="1849" customHeight="1" spans="1:9">
      <c r="A1849" s="3" t="str">
        <f t="shared" si="173"/>
        <v>0101</v>
      </c>
      <c r="B1849" s="3" t="s">
        <v>21</v>
      </c>
      <c r="C1849" s="3" t="str">
        <f>"高洁"</f>
        <v>高洁</v>
      </c>
      <c r="D1849" s="3" t="str">
        <f t="shared" si="175"/>
        <v>女</v>
      </c>
      <c r="E1849" s="3" t="str">
        <f>"2507016316"</f>
        <v>2507016316</v>
      </c>
      <c r="F1849" s="3" t="str">
        <f t="shared" si="174"/>
        <v>63</v>
      </c>
      <c r="G1849" s="4" t="str">
        <f>"16"</f>
        <v>16</v>
      </c>
      <c r="H1849" s="5">
        <v>79.4</v>
      </c>
      <c r="I1849" s="3"/>
    </row>
    <row r="1850" customHeight="1" spans="1:9">
      <c r="A1850" s="3" t="str">
        <f t="shared" si="173"/>
        <v>0101</v>
      </c>
      <c r="B1850" s="3" t="s">
        <v>21</v>
      </c>
      <c r="C1850" s="3" t="str">
        <f>"肖寒"</f>
        <v>肖寒</v>
      </c>
      <c r="D1850" s="3" t="str">
        <f t="shared" si="175"/>
        <v>女</v>
      </c>
      <c r="E1850" s="3" t="str">
        <f>"2507016317"</f>
        <v>2507016317</v>
      </c>
      <c r="F1850" s="3" t="str">
        <f t="shared" si="174"/>
        <v>63</v>
      </c>
      <c r="G1850" s="4" t="str">
        <f>"17"</f>
        <v>17</v>
      </c>
      <c r="H1850" s="5">
        <v>67.2</v>
      </c>
      <c r="I1850" s="3"/>
    </row>
    <row r="1851" customHeight="1" spans="1:9">
      <c r="A1851" s="3" t="str">
        <f t="shared" si="173"/>
        <v>0101</v>
      </c>
      <c r="B1851" s="3" t="s">
        <v>21</v>
      </c>
      <c r="C1851" s="3" t="str">
        <f>"李婷"</f>
        <v>李婷</v>
      </c>
      <c r="D1851" s="3" t="str">
        <f t="shared" si="175"/>
        <v>女</v>
      </c>
      <c r="E1851" s="3" t="str">
        <f>"2507016318"</f>
        <v>2507016318</v>
      </c>
      <c r="F1851" s="3" t="str">
        <f t="shared" si="174"/>
        <v>63</v>
      </c>
      <c r="G1851" s="4" t="str">
        <f>"18"</f>
        <v>18</v>
      </c>
      <c r="H1851" s="5">
        <v>64.3</v>
      </c>
      <c r="I1851" s="3"/>
    </row>
    <row r="1852" customHeight="1" spans="1:9">
      <c r="A1852" s="3" t="str">
        <f t="shared" si="173"/>
        <v>0101</v>
      </c>
      <c r="B1852" s="3" t="s">
        <v>21</v>
      </c>
      <c r="C1852" s="3" t="str">
        <f>"闫涵"</f>
        <v>闫涵</v>
      </c>
      <c r="D1852" s="3" t="str">
        <f t="shared" si="175"/>
        <v>女</v>
      </c>
      <c r="E1852" s="3" t="str">
        <f>"2507016319"</f>
        <v>2507016319</v>
      </c>
      <c r="F1852" s="3" t="str">
        <f t="shared" si="174"/>
        <v>63</v>
      </c>
      <c r="G1852" s="4" t="str">
        <f>"19"</f>
        <v>19</v>
      </c>
      <c r="H1852" s="5">
        <v>73.2</v>
      </c>
      <c r="I1852" s="3"/>
    </row>
    <row r="1853" customHeight="1" spans="1:9">
      <c r="A1853" s="3" t="str">
        <f t="shared" si="173"/>
        <v>0101</v>
      </c>
      <c r="B1853" s="3" t="s">
        <v>21</v>
      </c>
      <c r="C1853" s="3" t="str">
        <f>"邢林洋"</f>
        <v>邢林洋</v>
      </c>
      <c r="D1853" s="3" t="str">
        <f t="shared" si="175"/>
        <v>女</v>
      </c>
      <c r="E1853" s="3" t="str">
        <f>"2507016320"</f>
        <v>2507016320</v>
      </c>
      <c r="F1853" s="3" t="str">
        <f t="shared" si="174"/>
        <v>63</v>
      </c>
      <c r="G1853" s="4" t="str">
        <f>"20"</f>
        <v>20</v>
      </c>
      <c r="H1853" s="5">
        <v>78.8</v>
      </c>
      <c r="I1853" s="3"/>
    </row>
    <row r="1854" customHeight="1" spans="1:9">
      <c r="A1854" s="3" t="str">
        <f t="shared" si="173"/>
        <v>0101</v>
      </c>
      <c r="B1854" s="3" t="s">
        <v>21</v>
      </c>
      <c r="C1854" s="3" t="str">
        <f>"张志胜"</f>
        <v>张志胜</v>
      </c>
      <c r="D1854" s="3" t="str">
        <f>"男"</f>
        <v>男</v>
      </c>
      <c r="E1854" s="3" t="str">
        <f>"2507016321"</f>
        <v>2507016321</v>
      </c>
      <c r="F1854" s="3" t="str">
        <f t="shared" si="174"/>
        <v>63</v>
      </c>
      <c r="G1854" s="4" t="str">
        <f>"21"</f>
        <v>21</v>
      </c>
      <c r="H1854" s="5">
        <v>0</v>
      </c>
      <c r="I1854" s="3" t="s">
        <v>11</v>
      </c>
    </row>
    <row r="1855" customHeight="1" spans="1:9">
      <c r="A1855" s="3" t="str">
        <f t="shared" si="173"/>
        <v>0101</v>
      </c>
      <c r="B1855" s="3" t="s">
        <v>21</v>
      </c>
      <c r="C1855" s="3" t="str">
        <f>"王乐强"</f>
        <v>王乐强</v>
      </c>
      <c r="D1855" s="3" t="str">
        <f>"男"</f>
        <v>男</v>
      </c>
      <c r="E1855" s="3" t="str">
        <f>"2507016322"</f>
        <v>2507016322</v>
      </c>
      <c r="F1855" s="3" t="str">
        <f t="shared" si="174"/>
        <v>63</v>
      </c>
      <c r="G1855" s="4" t="str">
        <f>"22"</f>
        <v>22</v>
      </c>
      <c r="H1855" s="5">
        <v>0</v>
      </c>
      <c r="I1855" s="3" t="s">
        <v>11</v>
      </c>
    </row>
    <row r="1856" customHeight="1" spans="1:9">
      <c r="A1856" s="3" t="str">
        <f t="shared" si="173"/>
        <v>0101</v>
      </c>
      <c r="B1856" s="3" t="s">
        <v>21</v>
      </c>
      <c r="C1856" s="3" t="str">
        <f>"曹悦"</f>
        <v>曹悦</v>
      </c>
      <c r="D1856" s="3" t="str">
        <f t="shared" ref="D1856:D1891" si="176">"女"</f>
        <v>女</v>
      </c>
      <c r="E1856" s="3" t="str">
        <f>"2507016323"</f>
        <v>2507016323</v>
      </c>
      <c r="F1856" s="3" t="str">
        <f t="shared" si="174"/>
        <v>63</v>
      </c>
      <c r="G1856" s="4" t="str">
        <f>"23"</f>
        <v>23</v>
      </c>
      <c r="H1856" s="5">
        <v>73.8</v>
      </c>
      <c r="I1856" s="3"/>
    </row>
    <row r="1857" customHeight="1" spans="1:9">
      <c r="A1857" s="3" t="str">
        <f t="shared" si="173"/>
        <v>0101</v>
      </c>
      <c r="B1857" s="3" t="s">
        <v>21</v>
      </c>
      <c r="C1857" s="3" t="str">
        <f>"杨敏"</f>
        <v>杨敏</v>
      </c>
      <c r="D1857" s="3" t="str">
        <f t="shared" si="176"/>
        <v>女</v>
      </c>
      <c r="E1857" s="3" t="str">
        <f>"2507016324"</f>
        <v>2507016324</v>
      </c>
      <c r="F1857" s="3" t="str">
        <f t="shared" si="174"/>
        <v>63</v>
      </c>
      <c r="G1857" s="4" t="str">
        <f>"24"</f>
        <v>24</v>
      </c>
      <c r="H1857" s="5">
        <v>74.6</v>
      </c>
      <c r="I1857" s="3"/>
    </row>
    <row r="1858" customHeight="1" spans="1:9">
      <c r="A1858" s="3" t="str">
        <f t="shared" si="173"/>
        <v>0101</v>
      </c>
      <c r="B1858" s="3" t="s">
        <v>21</v>
      </c>
      <c r="C1858" s="3" t="str">
        <f>"尹海荣"</f>
        <v>尹海荣</v>
      </c>
      <c r="D1858" s="3" t="str">
        <f t="shared" si="176"/>
        <v>女</v>
      </c>
      <c r="E1858" s="3" t="str">
        <f>"2507016325"</f>
        <v>2507016325</v>
      </c>
      <c r="F1858" s="3" t="str">
        <f t="shared" si="174"/>
        <v>63</v>
      </c>
      <c r="G1858" s="4" t="str">
        <f>"25"</f>
        <v>25</v>
      </c>
      <c r="H1858" s="5">
        <v>70.4</v>
      </c>
      <c r="I1858" s="3"/>
    </row>
    <row r="1859" customHeight="1" spans="1:9">
      <c r="A1859" s="3" t="str">
        <f t="shared" si="173"/>
        <v>0101</v>
      </c>
      <c r="B1859" s="3" t="s">
        <v>21</v>
      </c>
      <c r="C1859" s="3" t="str">
        <f>"李秋莹"</f>
        <v>李秋莹</v>
      </c>
      <c r="D1859" s="3" t="str">
        <f t="shared" si="176"/>
        <v>女</v>
      </c>
      <c r="E1859" s="3" t="str">
        <f>"2507016326"</f>
        <v>2507016326</v>
      </c>
      <c r="F1859" s="3" t="str">
        <f t="shared" si="174"/>
        <v>63</v>
      </c>
      <c r="G1859" s="4" t="str">
        <f>"26"</f>
        <v>26</v>
      </c>
      <c r="H1859" s="5">
        <v>0</v>
      </c>
      <c r="I1859" s="3" t="s">
        <v>11</v>
      </c>
    </row>
    <row r="1860" customHeight="1" spans="1:9">
      <c r="A1860" s="3" t="str">
        <f t="shared" si="173"/>
        <v>0101</v>
      </c>
      <c r="B1860" s="3" t="s">
        <v>21</v>
      </c>
      <c r="C1860" s="3" t="str">
        <f>"花紫藤"</f>
        <v>花紫藤</v>
      </c>
      <c r="D1860" s="3" t="str">
        <f t="shared" si="176"/>
        <v>女</v>
      </c>
      <c r="E1860" s="3" t="str">
        <f>"2507016327"</f>
        <v>2507016327</v>
      </c>
      <c r="F1860" s="3" t="str">
        <f t="shared" si="174"/>
        <v>63</v>
      </c>
      <c r="G1860" s="4" t="str">
        <f>"27"</f>
        <v>27</v>
      </c>
      <c r="H1860" s="5">
        <v>73.5</v>
      </c>
      <c r="I1860" s="3"/>
    </row>
    <row r="1861" customHeight="1" spans="1:9">
      <c r="A1861" s="3" t="str">
        <f t="shared" si="173"/>
        <v>0101</v>
      </c>
      <c r="B1861" s="3" t="s">
        <v>21</v>
      </c>
      <c r="C1861" s="3" t="str">
        <f>"常远"</f>
        <v>常远</v>
      </c>
      <c r="D1861" s="3" t="str">
        <f t="shared" si="176"/>
        <v>女</v>
      </c>
      <c r="E1861" s="3" t="str">
        <f>"2507016328"</f>
        <v>2507016328</v>
      </c>
      <c r="F1861" s="3" t="str">
        <f t="shared" si="174"/>
        <v>63</v>
      </c>
      <c r="G1861" s="4" t="str">
        <f>"28"</f>
        <v>28</v>
      </c>
      <c r="H1861" s="5">
        <v>67.1</v>
      </c>
      <c r="I1861" s="3"/>
    </row>
    <row r="1862" customHeight="1" spans="1:9">
      <c r="A1862" s="3" t="str">
        <f t="shared" si="173"/>
        <v>0101</v>
      </c>
      <c r="B1862" s="3" t="s">
        <v>21</v>
      </c>
      <c r="C1862" s="3" t="str">
        <f>"李雪淇"</f>
        <v>李雪淇</v>
      </c>
      <c r="D1862" s="3" t="str">
        <f t="shared" si="176"/>
        <v>女</v>
      </c>
      <c r="E1862" s="3" t="str">
        <f>"2507016329"</f>
        <v>2507016329</v>
      </c>
      <c r="F1862" s="3" t="str">
        <f t="shared" si="174"/>
        <v>63</v>
      </c>
      <c r="G1862" s="4" t="str">
        <f>"29"</f>
        <v>29</v>
      </c>
      <c r="H1862" s="5">
        <v>68.7</v>
      </c>
      <c r="I1862" s="3"/>
    </row>
    <row r="1863" customHeight="1" spans="1:9">
      <c r="A1863" s="3" t="str">
        <f t="shared" si="173"/>
        <v>0101</v>
      </c>
      <c r="B1863" s="3" t="s">
        <v>21</v>
      </c>
      <c r="C1863" s="3" t="str">
        <f>"马建薇"</f>
        <v>马建薇</v>
      </c>
      <c r="D1863" s="3" t="str">
        <f t="shared" si="176"/>
        <v>女</v>
      </c>
      <c r="E1863" s="3" t="str">
        <f>"2507016330"</f>
        <v>2507016330</v>
      </c>
      <c r="F1863" s="3" t="str">
        <f t="shared" si="174"/>
        <v>63</v>
      </c>
      <c r="G1863" s="4" t="str">
        <f>"30"</f>
        <v>30</v>
      </c>
      <c r="H1863" s="5">
        <v>69</v>
      </c>
      <c r="I1863" s="3"/>
    </row>
    <row r="1864" customHeight="1" spans="1:9">
      <c r="A1864" s="3" t="str">
        <f t="shared" si="173"/>
        <v>0101</v>
      </c>
      <c r="B1864" s="3" t="s">
        <v>21</v>
      </c>
      <c r="C1864" s="3" t="str">
        <f>"李祜宇"</f>
        <v>李祜宇</v>
      </c>
      <c r="D1864" s="3" t="str">
        <f t="shared" si="176"/>
        <v>女</v>
      </c>
      <c r="E1864" s="3" t="str">
        <f>"2507016401"</f>
        <v>2507016401</v>
      </c>
      <c r="F1864" s="3" t="str">
        <f t="shared" ref="F1864:F1893" si="177">"64"</f>
        <v>64</v>
      </c>
      <c r="G1864" s="4" t="str">
        <f>"01"</f>
        <v>01</v>
      </c>
      <c r="H1864" s="5">
        <v>73.4</v>
      </c>
      <c r="I1864" s="3"/>
    </row>
    <row r="1865" customHeight="1" spans="1:9">
      <c r="A1865" s="3" t="str">
        <f t="shared" si="173"/>
        <v>0101</v>
      </c>
      <c r="B1865" s="3" t="s">
        <v>21</v>
      </c>
      <c r="C1865" s="3" t="str">
        <f>"苏涵"</f>
        <v>苏涵</v>
      </c>
      <c r="D1865" s="3" t="str">
        <f t="shared" si="176"/>
        <v>女</v>
      </c>
      <c r="E1865" s="3" t="str">
        <f>"2507016402"</f>
        <v>2507016402</v>
      </c>
      <c r="F1865" s="3" t="str">
        <f t="shared" si="177"/>
        <v>64</v>
      </c>
      <c r="G1865" s="4" t="str">
        <f>"02"</f>
        <v>02</v>
      </c>
      <c r="H1865" s="5">
        <v>69.6</v>
      </c>
      <c r="I1865" s="3"/>
    </row>
    <row r="1866" customHeight="1" spans="1:9">
      <c r="A1866" s="3" t="str">
        <f t="shared" si="173"/>
        <v>0101</v>
      </c>
      <c r="B1866" s="3" t="s">
        <v>21</v>
      </c>
      <c r="C1866" s="3" t="str">
        <f>"谢雨蒙"</f>
        <v>谢雨蒙</v>
      </c>
      <c r="D1866" s="3" t="str">
        <f t="shared" si="176"/>
        <v>女</v>
      </c>
      <c r="E1866" s="3" t="str">
        <f>"2507016403"</f>
        <v>2507016403</v>
      </c>
      <c r="F1866" s="3" t="str">
        <f t="shared" si="177"/>
        <v>64</v>
      </c>
      <c r="G1866" s="4" t="str">
        <f>"03"</f>
        <v>03</v>
      </c>
      <c r="H1866" s="5">
        <v>72</v>
      </c>
      <c r="I1866" s="3"/>
    </row>
    <row r="1867" customHeight="1" spans="1:9">
      <c r="A1867" s="3" t="str">
        <f t="shared" si="173"/>
        <v>0101</v>
      </c>
      <c r="B1867" s="3" t="s">
        <v>21</v>
      </c>
      <c r="C1867" s="3" t="str">
        <f>"严傲楠"</f>
        <v>严傲楠</v>
      </c>
      <c r="D1867" s="3" t="str">
        <f t="shared" si="176"/>
        <v>女</v>
      </c>
      <c r="E1867" s="3" t="str">
        <f>"2507016404"</f>
        <v>2507016404</v>
      </c>
      <c r="F1867" s="3" t="str">
        <f t="shared" si="177"/>
        <v>64</v>
      </c>
      <c r="G1867" s="4" t="str">
        <f>"04"</f>
        <v>04</v>
      </c>
      <c r="H1867" s="5">
        <v>0</v>
      </c>
      <c r="I1867" s="3" t="s">
        <v>11</v>
      </c>
    </row>
    <row r="1868" customHeight="1" spans="1:9">
      <c r="A1868" s="3" t="str">
        <f t="shared" si="173"/>
        <v>0101</v>
      </c>
      <c r="B1868" s="3" t="s">
        <v>21</v>
      </c>
      <c r="C1868" s="3" t="str">
        <f>"赵新月"</f>
        <v>赵新月</v>
      </c>
      <c r="D1868" s="3" t="str">
        <f t="shared" si="176"/>
        <v>女</v>
      </c>
      <c r="E1868" s="3" t="str">
        <f>"2507016405"</f>
        <v>2507016405</v>
      </c>
      <c r="F1868" s="3" t="str">
        <f t="shared" si="177"/>
        <v>64</v>
      </c>
      <c r="G1868" s="4" t="str">
        <f>"05"</f>
        <v>05</v>
      </c>
      <c r="H1868" s="5">
        <v>72.1</v>
      </c>
      <c r="I1868" s="3"/>
    </row>
    <row r="1869" customHeight="1" spans="1:9">
      <c r="A1869" s="3" t="str">
        <f t="shared" si="173"/>
        <v>0101</v>
      </c>
      <c r="B1869" s="3" t="s">
        <v>21</v>
      </c>
      <c r="C1869" s="3" t="str">
        <f>"张颖"</f>
        <v>张颖</v>
      </c>
      <c r="D1869" s="3" t="str">
        <f t="shared" si="176"/>
        <v>女</v>
      </c>
      <c r="E1869" s="3" t="str">
        <f>"2507016406"</f>
        <v>2507016406</v>
      </c>
      <c r="F1869" s="3" t="str">
        <f t="shared" si="177"/>
        <v>64</v>
      </c>
      <c r="G1869" s="4" t="str">
        <f>"06"</f>
        <v>06</v>
      </c>
      <c r="H1869" s="5">
        <v>0</v>
      </c>
      <c r="I1869" s="3" t="s">
        <v>11</v>
      </c>
    </row>
    <row r="1870" customHeight="1" spans="1:9">
      <c r="A1870" s="3" t="str">
        <f t="shared" si="173"/>
        <v>0101</v>
      </c>
      <c r="B1870" s="3" t="s">
        <v>21</v>
      </c>
      <c r="C1870" s="3" t="str">
        <f>"娄宜青"</f>
        <v>娄宜青</v>
      </c>
      <c r="D1870" s="3" t="str">
        <f t="shared" si="176"/>
        <v>女</v>
      </c>
      <c r="E1870" s="3" t="str">
        <f>"2507016407"</f>
        <v>2507016407</v>
      </c>
      <c r="F1870" s="3" t="str">
        <f t="shared" si="177"/>
        <v>64</v>
      </c>
      <c r="G1870" s="4" t="str">
        <f>"07"</f>
        <v>07</v>
      </c>
      <c r="H1870" s="5">
        <v>73.2</v>
      </c>
      <c r="I1870" s="3"/>
    </row>
    <row r="1871" customHeight="1" spans="1:9">
      <c r="A1871" s="3" t="str">
        <f t="shared" si="173"/>
        <v>0101</v>
      </c>
      <c r="B1871" s="3" t="s">
        <v>21</v>
      </c>
      <c r="C1871" s="3" t="str">
        <f>"孙天晴"</f>
        <v>孙天晴</v>
      </c>
      <c r="D1871" s="3" t="str">
        <f t="shared" si="176"/>
        <v>女</v>
      </c>
      <c r="E1871" s="3" t="str">
        <f>"2507016408"</f>
        <v>2507016408</v>
      </c>
      <c r="F1871" s="3" t="str">
        <f t="shared" si="177"/>
        <v>64</v>
      </c>
      <c r="G1871" s="4" t="str">
        <f>"08"</f>
        <v>08</v>
      </c>
      <c r="H1871" s="5">
        <v>75.3</v>
      </c>
      <c r="I1871" s="3"/>
    </row>
    <row r="1872" customHeight="1" spans="1:9">
      <c r="A1872" s="3" t="str">
        <f t="shared" si="173"/>
        <v>0101</v>
      </c>
      <c r="B1872" s="3" t="s">
        <v>21</v>
      </c>
      <c r="C1872" s="3" t="str">
        <f>"陈欣悦"</f>
        <v>陈欣悦</v>
      </c>
      <c r="D1872" s="3" t="str">
        <f t="shared" si="176"/>
        <v>女</v>
      </c>
      <c r="E1872" s="3" t="str">
        <f>"2507016409"</f>
        <v>2507016409</v>
      </c>
      <c r="F1872" s="3" t="str">
        <f t="shared" si="177"/>
        <v>64</v>
      </c>
      <c r="G1872" s="4" t="str">
        <f>"09"</f>
        <v>09</v>
      </c>
      <c r="H1872" s="5">
        <v>71.2</v>
      </c>
      <c r="I1872" s="3"/>
    </row>
    <row r="1873" customHeight="1" spans="1:9">
      <c r="A1873" s="3" t="str">
        <f t="shared" si="173"/>
        <v>0101</v>
      </c>
      <c r="B1873" s="3" t="s">
        <v>21</v>
      </c>
      <c r="C1873" s="3" t="str">
        <f>"张佳慧"</f>
        <v>张佳慧</v>
      </c>
      <c r="D1873" s="3" t="str">
        <f t="shared" si="176"/>
        <v>女</v>
      </c>
      <c r="E1873" s="3" t="str">
        <f>"2507016410"</f>
        <v>2507016410</v>
      </c>
      <c r="F1873" s="3" t="str">
        <f t="shared" si="177"/>
        <v>64</v>
      </c>
      <c r="G1873" s="4" t="str">
        <f>"10"</f>
        <v>10</v>
      </c>
      <c r="H1873" s="5">
        <v>70.3</v>
      </c>
      <c r="I1873" s="3"/>
    </row>
    <row r="1874" customHeight="1" spans="1:9">
      <c r="A1874" s="3" t="str">
        <f t="shared" si="173"/>
        <v>0101</v>
      </c>
      <c r="B1874" s="3" t="s">
        <v>21</v>
      </c>
      <c r="C1874" s="3" t="str">
        <f>"张晓琪"</f>
        <v>张晓琪</v>
      </c>
      <c r="D1874" s="3" t="str">
        <f t="shared" si="176"/>
        <v>女</v>
      </c>
      <c r="E1874" s="3" t="str">
        <f>"2507016411"</f>
        <v>2507016411</v>
      </c>
      <c r="F1874" s="3" t="str">
        <f t="shared" si="177"/>
        <v>64</v>
      </c>
      <c r="G1874" s="4" t="str">
        <f>"11"</f>
        <v>11</v>
      </c>
      <c r="H1874" s="5">
        <v>0</v>
      </c>
      <c r="I1874" s="3" t="s">
        <v>11</v>
      </c>
    </row>
    <row r="1875" customHeight="1" spans="1:9">
      <c r="A1875" s="3" t="str">
        <f t="shared" si="173"/>
        <v>0101</v>
      </c>
      <c r="B1875" s="3" t="s">
        <v>21</v>
      </c>
      <c r="C1875" s="3" t="str">
        <f>"陆奕臻"</f>
        <v>陆奕臻</v>
      </c>
      <c r="D1875" s="3" t="str">
        <f t="shared" si="176"/>
        <v>女</v>
      </c>
      <c r="E1875" s="3" t="str">
        <f>"2507016412"</f>
        <v>2507016412</v>
      </c>
      <c r="F1875" s="3" t="str">
        <f t="shared" si="177"/>
        <v>64</v>
      </c>
      <c r="G1875" s="4" t="str">
        <f>"12"</f>
        <v>12</v>
      </c>
      <c r="H1875" s="5">
        <v>74</v>
      </c>
      <c r="I1875" s="3"/>
    </row>
    <row r="1876" customHeight="1" spans="1:9">
      <c r="A1876" s="3" t="str">
        <f t="shared" si="173"/>
        <v>0101</v>
      </c>
      <c r="B1876" s="3" t="s">
        <v>21</v>
      </c>
      <c r="C1876" s="3" t="str">
        <f>"方艳秋"</f>
        <v>方艳秋</v>
      </c>
      <c r="D1876" s="3" t="str">
        <f t="shared" si="176"/>
        <v>女</v>
      </c>
      <c r="E1876" s="3" t="str">
        <f>"2507016413"</f>
        <v>2507016413</v>
      </c>
      <c r="F1876" s="3" t="str">
        <f t="shared" si="177"/>
        <v>64</v>
      </c>
      <c r="G1876" s="4" t="str">
        <f>"13"</f>
        <v>13</v>
      </c>
      <c r="H1876" s="5">
        <v>0</v>
      </c>
      <c r="I1876" s="3" t="s">
        <v>11</v>
      </c>
    </row>
    <row r="1877" customHeight="1" spans="1:9">
      <c r="A1877" s="3" t="str">
        <f t="shared" si="173"/>
        <v>0101</v>
      </c>
      <c r="B1877" s="3" t="s">
        <v>21</v>
      </c>
      <c r="C1877" s="3" t="str">
        <f>"张力文"</f>
        <v>张力文</v>
      </c>
      <c r="D1877" s="3" t="str">
        <f t="shared" si="176"/>
        <v>女</v>
      </c>
      <c r="E1877" s="3" t="str">
        <f>"2507016414"</f>
        <v>2507016414</v>
      </c>
      <c r="F1877" s="3" t="str">
        <f t="shared" si="177"/>
        <v>64</v>
      </c>
      <c r="G1877" s="4" t="str">
        <f>"14"</f>
        <v>14</v>
      </c>
      <c r="H1877" s="5">
        <v>77.8</v>
      </c>
      <c r="I1877" s="3"/>
    </row>
    <row r="1878" customHeight="1" spans="1:9">
      <c r="A1878" s="3" t="str">
        <f t="shared" si="173"/>
        <v>0101</v>
      </c>
      <c r="B1878" s="3" t="s">
        <v>21</v>
      </c>
      <c r="C1878" s="3" t="str">
        <f>"田知明"</f>
        <v>田知明</v>
      </c>
      <c r="D1878" s="3" t="str">
        <f t="shared" si="176"/>
        <v>女</v>
      </c>
      <c r="E1878" s="3" t="str">
        <f>"2507016415"</f>
        <v>2507016415</v>
      </c>
      <c r="F1878" s="3" t="str">
        <f t="shared" si="177"/>
        <v>64</v>
      </c>
      <c r="G1878" s="4" t="str">
        <f>"15"</f>
        <v>15</v>
      </c>
      <c r="H1878" s="5">
        <v>81.2</v>
      </c>
      <c r="I1878" s="3"/>
    </row>
    <row r="1879" customHeight="1" spans="1:9">
      <c r="A1879" s="3" t="str">
        <f t="shared" si="173"/>
        <v>0101</v>
      </c>
      <c r="B1879" s="3" t="s">
        <v>21</v>
      </c>
      <c r="C1879" s="3" t="str">
        <f>"奚沁怡"</f>
        <v>奚沁怡</v>
      </c>
      <c r="D1879" s="3" t="str">
        <f t="shared" si="176"/>
        <v>女</v>
      </c>
      <c r="E1879" s="3" t="str">
        <f>"2507016416"</f>
        <v>2507016416</v>
      </c>
      <c r="F1879" s="3" t="str">
        <f t="shared" si="177"/>
        <v>64</v>
      </c>
      <c r="G1879" s="4" t="str">
        <f>"16"</f>
        <v>16</v>
      </c>
      <c r="H1879" s="5">
        <v>0</v>
      </c>
      <c r="I1879" s="3" t="s">
        <v>11</v>
      </c>
    </row>
    <row r="1880" customHeight="1" spans="1:9">
      <c r="A1880" s="3" t="str">
        <f t="shared" si="173"/>
        <v>0101</v>
      </c>
      <c r="B1880" s="3" t="s">
        <v>21</v>
      </c>
      <c r="C1880" s="3" t="str">
        <f>"陈思涵"</f>
        <v>陈思涵</v>
      </c>
      <c r="D1880" s="3" t="str">
        <f t="shared" si="176"/>
        <v>女</v>
      </c>
      <c r="E1880" s="3" t="str">
        <f>"2507016417"</f>
        <v>2507016417</v>
      </c>
      <c r="F1880" s="3" t="str">
        <f t="shared" si="177"/>
        <v>64</v>
      </c>
      <c r="G1880" s="4" t="str">
        <f>"17"</f>
        <v>17</v>
      </c>
      <c r="H1880" s="5">
        <v>75.3</v>
      </c>
      <c r="I1880" s="3"/>
    </row>
    <row r="1881" customHeight="1" spans="1:9">
      <c r="A1881" s="3" t="str">
        <f t="shared" si="173"/>
        <v>0101</v>
      </c>
      <c r="B1881" s="3" t="s">
        <v>21</v>
      </c>
      <c r="C1881" s="3" t="str">
        <f>"邵雨晴"</f>
        <v>邵雨晴</v>
      </c>
      <c r="D1881" s="3" t="str">
        <f t="shared" si="176"/>
        <v>女</v>
      </c>
      <c r="E1881" s="3" t="str">
        <f>"2507016418"</f>
        <v>2507016418</v>
      </c>
      <c r="F1881" s="3" t="str">
        <f t="shared" si="177"/>
        <v>64</v>
      </c>
      <c r="G1881" s="4" t="str">
        <f>"18"</f>
        <v>18</v>
      </c>
      <c r="H1881" s="5">
        <v>76.3</v>
      </c>
      <c r="I1881" s="3"/>
    </row>
    <row r="1882" customHeight="1" spans="1:9">
      <c r="A1882" s="3" t="str">
        <f t="shared" si="173"/>
        <v>0101</v>
      </c>
      <c r="B1882" s="3" t="s">
        <v>21</v>
      </c>
      <c r="C1882" s="3" t="str">
        <f>"林倩"</f>
        <v>林倩</v>
      </c>
      <c r="D1882" s="3" t="str">
        <f t="shared" si="176"/>
        <v>女</v>
      </c>
      <c r="E1882" s="3" t="str">
        <f>"2507016419"</f>
        <v>2507016419</v>
      </c>
      <c r="F1882" s="3" t="str">
        <f t="shared" si="177"/>
        <v>64</v>
      </c>
      <c r="G1882" s="4" t="str">
        <f>"19"</f>
        <v>19</v>
      </c>
      <c r="H1882" s="5">
        <v>0</v>
      </c>
      <c r="I1882" s="3" t="s">
        <v>11</v>
      </c>
    </row>
    <row r="1883" customHeight="1" spans="1:9">
      <c r="A1883" s="3" t="str">
        <f t="shared" si="173"/>
        <v>0101</v>
      </c>
      <c r="B1883" s="3" t="s">
        <v>21</v>
      </c>
      <c r="C1883" s="3" t="str">
        <f>"梅潇"</f>
        <v>梅潇</v>
      </c>
      <c r="D1883" s="3" t="str">
        <f t="shared" si="176"/>
        <v>女</v>
      </c>
      <c r="E1883" s="3" t="str">
        <f>"2507016420"</f>
        <v>2507016420</v>
      </c>
      <c r="F1883" s="3" t="str">
        <f t="shared" si="177"/>
        <v>64</v>
      </c>
      <c r="G1883" s="4" t="str">
        <f>"20"</f>
        <v>20</v>
      </c>
      <c r="H1883" s="5">
        <v>72.7</v>
      </c>
      <c r="I1883" s="3"/>
    </row>
    <row r="1884" customHeight="1" spans="1:9">
      <c r="A1884" s="3" t="str">
        <f t="shared" si="173"/>
        <v>0101</v>
      </c>
      <c r="B1884" s="3" t="s">
        <v>21</v>
      </c>
      <c r="C1884" s="3" t="str">
        <f>"孙同群"</f>
        <v>孙同群</v>
      </c>
      <c r="D1884" s="3" t="str">
        <f t="shared" si="176"/>
        <v>女</v>
      </c>
      <c r="E1884" s="3" t="str">
        <f>"2507016421"</f>
        <v>2507016421</v>
      </c>
      <c r="F1884" s="3" t="str">
        <f t="shared" si="177"/>
        <v>64</v>
      </c>
      <c r="G1884" s="4" t="str">
        <f>"21"</f>
        <v>21</v>
      </c>
      <c r="H1884" s="5">
        <v>77.8</v>
      </c>
      <c r="I1884" s="3"/>
    </row>
    <row r="1885" customHeight="1" spans="1:9">
      <c r="A1885" s="3" t="str">
        <f t="shared" si="173"/>
        <v>0101</v>
      </c>
      <c r="B1885" s="3" t="s">
        <v>21</v>
      </c>
      <c r="C1885" s="3" t="str">
        <f>"徐晗"</f>
        <v>徐晗</v>
      </c>
      <c r="D1885" s="3" t="str">
        <f t="shared" si="176"/>
        <v>女</v>
      </c>
      <c r="E1885" s="3" t="str">
        <f>"2507016422"</f>
        <v>2507016422</v>
      </c>
      <c r="F1885" s="3" t="str">
        <f t="shared" si="177"/>
        <v>64</v>
      </c>
      <c r="G1885" s="4" t="str">
        <f>"22"</f>
        <v>22</v>
      </c>
      <c r="H1885" s="5">
        <v>72.9</v>
      </c>
      <c r="I1885" s="3"/>
    </row>
    <row r="1886" customHeight="1" spans="1:9">
      <c r="A1886" s="3" t="str">
        <f t="shared" si="173"/>
        <v>0101</v>
      </c>
      <c r="B1886" s="3" t="s">
        <v>21</v>
      </c>
      <c r="C1886" s="3" t="str">
        <f>"刘瑞敏"</f>
        <v>刘瑞敏</v>
      </c>
      <c r="D1886" s="3" t="str">
        <f t="shared" si="176"/>
        <v>女</v>
      </c>
      <c r="E1886" s="3" t="str">
        <f>"2507016423"</f>
        <v>2507016423</v>
      </c>
      <c r="F1886" s="3" t="str">
        <f t="shared" si="177"/>
        <v>64</v>
      </c>
      <c r="G1886" s="4" t="str">
        <f>"23"</f>
        <v>23</v>
      </c>
      <c r="H1886" s="5">
        <v>78.9</v>
      </c>
      <c r="I1886" s="3"/>
    </row>
    <row r="1887" customHeight="1" spans="1:9">
      <c r="A1887" s="3" t="str">
        <f t="shared" si="173"/>
        <v>0101</v>
      </c>
      <c r="B1887" s="3" t="s">
        <v>21</v>
      </c>
      <c r="C1887" s="3" t="str">
        <f>"张虹"</f>
        <v>张虹</v>
      </c>
      <c r="D1887" s="3" t="str">
        <f t="shared" si="176"/>
        <v>女</v>
      </c>
      <c r="E1887" s="3" t="str">
        <f>"2507016424"</f>
        <v>2507016424</v>
      </c>
      <c r="F1887" s="3" t="str">
        <f t="shared" si="177"/>
        <v>64</v>
      </c>
      <c r="G1887" s="4" t="str">
        <f>"24"</f>
        <v>24</v>
      </c>
      <c r="H1887" s="5">
        <v>73.2</v>
      </c>
      <c r="I1887" s="3"/>
    </row>
    <row r="1888" customHeight="1" spans="1:9">
      <c r="A1888" s="3" t="str">
        <f t="shared" si="173"/>
        <v>0101</v>
      </c>
      <c r="B1888" s="3" t="s">
        <v>21</v>
      </c>
      <c r="C1888" s="3" t="str">
        <f>"胡京"</f>
        <v>胡京</v>
      </c>
      <c r="D1888" s="3" t="str">
        <f t="shared" si="176"/>
        <v>女</v>
      </c>
      <c r="E1888" s="3" t="str">
        <f>"2507016425"</f>
        <v>2507016425</v>
      </c>
      <c r="F1888" s="3" t="str">
        <f t="shared" si="177"/>
        <v>64</v>
      </c>
      <c r="G1888" s="4" t="str">
        <f>"25"</f>
        <v>25</v>
      </c>
      <c r="H1888" s="5">
        <v>0</v>
      </c>
      <c r="I1888" s="3" t="s">
        <v>11</v>
      </c>
    </row>
    <row r="1889" customHeight="1" spans="1:9">
      <c r="A1889" s="3" t="str">
        <f t="shared" si="173"/>
        <v>0101</v>
      </c>
      <c r="B1889" s="3" t="s">
        <v>21</v>
      </c>
      <c r="C1889" s="3" t="str">
        <f>"袁偲雨"</f>
        <v>袁偲雨</v>
      </c>
      <c r="D1889" s="3" t="str">
        <f t="shared" si="176"/>
        <v>女</v>
      </c>
      <c r="E1889" s="3" t="str">
        <f>"2507016426"</f>
        <v>2507016426</v>
      </c>
      <c r="F1889" s="3" t="str">
        <f t="shared" si="177"/>
        <v>64</v>
      </c>
      <c r="G1889" s="4" t="str">
        <f>"26"</f>
        <v>26</v>
      </c>
      <c r="H1889" s="5">
        <v>75.4</v>
      </c>
      <c r="I1889" s="3"/>
    </row>
    <row r="1890" customHeight="1" spans="1:9">
      <c r="A1890" s="3" t="str">
        <f t="shared" si="173"/>
        <v>0101</v>
      </c>
      <c r="B1890" s="3" t="s">
        <v>21</v>
      </c>
      <c r="C1890" s="3" t="str">
        <f>"时欣"</f>
        <v>时欣</v>
      </c>
      <c r="D1890" s="3" t="str">
        <f t="shared" si="176"/>
        <v>女</v>
      </c>
      <c r="E1890" s="3" t="str">
        <f>"2507016427"</f>
        <v>2507016427</v>
      </c>
      <c r="F1890" s="3" t="str">
        <f t="shared" si="177"/>
        <v>64</v>
      </c>
      <c r="G1890" s="4" t="str">
        <f>"27"</f>
        <v>27</v>
      </c>
      <c r="H1890" s="5">
        <v>68.8</v>
      </c>
      <c r="I1890" s="3"/>
    </row>
    <row r="1891" customHeight="1" spans="1:9">
      <c r="A1891" s="3" t="str">
        <f t="shared" si="173"/>
        <v>0101</v>
      </c>
      <c r="B1891" s="3" t="s">
        <v>21</v>
      </c>
      <c r="C1891" s="3" t="str">
        <f>"吕杰"</f>
        <v>吕杰</v>
      </c>
      <c r="D1891" s="3" t="str">
        <f t="shared" si="176"/>
        <v>女</v>
      </c>
      <c r="E1891" s="3" t="str">
        <f>"2507016428"</f>
        <v>2507016428</v>
      </c>
      <c r="F1891" s="3" t="str">
        <f t="shared" si="177"/>
        <v>64</v>
      </c>
      <c r="G1891" s="4" t="str">
        <f>"28"</f>
        <v>28</v>
      </c>
      <c r="H1891" s="5">
        <v>82.8</v>
      </c>
      <c r="I1891" s="3"/>
    </row>
    <row r="1892" customHeight="1" spans="1:9">
      <c r="A1892" s="3" t="str">
        <f t="shared" si="173"/>
        <v>0101</v>
      </c>
      <c r="B1892" s="3" t="s">
        <v>21</v>
      </c>
      <c r="C1892" s="3" t="str">
        <f>"张宁宁"</f>
        <v>张宁宁</v>
      </c>
      <c r="D1892" s="3" t="str">
        <f>"男"</f>
        <v>男</v>
      </c>
      <c r="E1892" s="3" t="str">
        <f>"2507016429"</f>
        <v>2507016429</v>
      </c>
      <c r="F1892" s="3" t="str">
        <f t="shared" si="177"/>
        <v>64</v>
      </c>
      <c r="G1892" s="4" t="str">
        <f>"29"</f>
        <v>29</v>
      </c>
      <c r="H1892" s="5">
        <v>68.6</v>
      </c>
      <c r="I1892" s="3"/>
    </row>
    <row r="1893" customHeight="1" spans="1:9">
      <c r="A1893" s="3" t="str">
        <f t="shared" si="173"/>
        <v>0101</v>
      </c>
      <c r="B1893" s="3" t="s">
        <v>21</v>
      </c>
      <c r="C1893" s="3" t="str">
        <f>"吕欣馨"</f>
        <v>吕欣馨</v>
      </c>
      <c r="D1893" s="3" t="str">
        <f t="shared" ref="D1893:D1931" si="178">"女"</f>
        <v>女</v>
      </c>
      <c r="E1893" s="3" t="str">
        <f>"2507016430"</f>
        <v>2507016430</v>
      </c>
      <c r="F1893" s="3" t="str">
        <f t="shared" si="177"/>
        <v>64</v>
      </c>
      <c r="G1893" s="4" t="str">
        <f>"30"</f>
        <v>30</v>
      </c>
      <c r="H1893" s="5">
        <v>0</v>
      </c>
      <c r="I1893" s="3" t="s">
        <v>11</v>
      </c>
    </row>
    <row r="1894" customHeight="1" spans="1:9">
      <c r="A1894" s="3" t="str">
        <f t="shared" si="173"/>
        <v>0101</v>
      </c>
      <c r="B1894" s="3" t="s">
        <v>21</v>
      </c>
      <c r="C1894" s="3" t="str">
        <f>"彭稳稳"</f>
        <v>彭稳稳</v>
      </c>
      <c r="D1894" s="3" t="str">
        <f t="shared" si="178"/>
        <v>女</v>
      </c>
      <c r="E1894" s="3" t="str">
        <f>"2507016501"</f>
        <v>2507016501</v>
      </c>
      <c r="F1894" s="3" t="str">
        <f t="shared" ref="F1894:F1923" si="179">"65"</f>
        <v>65</v>
      </c>
      <c r="G1894" s="4" t="str">
        <f>"01"</f>
        <v>01</v>
      </c>
      <c r="H1894" s="5">
        <v>68.9</v>
      </c>
      <c r="I1894" s="3"/>
    </row>
    <row r="1895" customHeight="1" spans="1:9">
      <c r="A1895" s="3" t="str">
        <f t="shared" si="173"/>
        <v>0101</v>
      </c>
      <c r="B1895" s="3" t="s">
        <v>21</v>
      </c>
      <c r="C1895" s="3" t="str">
        <f>"刘诗祺"</f>
        <v>刘诗祺</v>
      </c>
      <c r="D1895" s="3" t="str">
        <f t="shared" si="178"/>
        <v>女</v>
      </c>
      <c r="E1895" s="3" t="str">
        <f>"2507016502"</f>
        <v>2507016502</v>
      </c>
      <c r="F1895" s="3" t="str">
        <f t="shared" si="179"/>
        <v>65</v>
      </c>
      <c r="G1895" s="4" t="str">
        <f>"02"</f>
        <v>02</v>
      </c>
      <c r="H1895" s="5">
        <v>76.9</v>
      </c>
      <c r="I1895" s="3"/>
    </row>
    <row r="1896" customHeight="1" spans="1:9">
      <c r="A1896" s="3" t="str">
        <f t="shared" si="173"/>
        <v>0101</v>
      </c>
      <c r="B1896" s="3" t="s">
        <v>21</v>
      </c>
      <c r="C1896" s="3" t="str">
        <f>"苏一鸣"</f>
        <v>苏一鸣</v>
      </c>
      <c r="D1896" s="3" t="str">
        <f t="shared" si="178"/>
        <v>女</v>
      </c>
      <c r="E1896" s="3" t="str">
        <f>"2507016503"</f>
        <v>2507016503</v>
      </c>
      <c r="F1896" s="3" t="str">
        <f t="shared" si="179"/>
        <v>65</v>
      </c>
      <c r="G1896" s="4" t="str">
        <f>"03"</f>
        <v>03</v>
      </c>
      <c r="H1896" s="5">
        <v>76.7</v>
      </c>
      <c r="I1896" s="3"/>
    </row>
    <row r="1897" customHeight="1" spans="1:9">
      <c r="A1897" s="3" t="str">
        <f t="shared" si="173"/>
        <v>0101</v>
      </c>
      <c r="B1897" s="3" t="s">
        <v>21</v>
      </c>
      <c r="C1897" s="3" t="str">
        <f>"刘瑞敏"</f>
        <v>刘瑞敏</v>
      </c>
      <c r="D1897" s="3" t="str">
        <f t="shared" si="178"/>
        <v>女</v>
      </c>
      <c r="E1897" s="3" t="str">
        <f>"2507016504"</f>
        <v>2507016504</v>
      </c>
      <c r="F1897" s="3" t="str">
        <f t="shared" si="179"/>
        <v>65</v>
      </c>
      <c r="G1897" s="4" t="str">
        <f>"04"</f>
        <v>04</v>
      </c>
      <c r="H1897" s="5">
        <v>75.8</v>
      </c>
      <c r="I1897" s="3"/>
    </row>
    <row r="1898" customHeight="1" spans="1:9">
      <c r="A1898" s="3" t="str">
        <f t="shared" ref="A1898:A1961" si="180">"0101"</f>
        <v>0101</v>
      </c>
      <c r="B1898" s="3" t="s">
        <v>21</v>
      </c>
      <c r="C1898" s="3" t="str">
        <f>"乔娴"</f>
        <v>乔娴</v>
      </c>
      <c r="D1898" s="3" t="str">
        <f t="shared" si="178"/>
        <v>女</v>
      </c>
      <c r="E1898" s="3" t="str">
        <f>"2507016505"</f>
        <v>2507016505</v>
      </c>
      <c r="F1898" s="3" t="str">
        <f t="shared" si="179"/>
        <v>65</v>
      </c>
      <c r="G1898" s="4" t="str">
        <f>"05"</f>
        <v>05</v>
      </c>
      <c r="H1898" s="5">
        <v>76.3</v>
      </c>
      <c r="I1898" s="3"/>
    </row>
    <row r="1899" customHeight="1" spans="1:9">
      <c r="A1899" s="3" t="str">
        <f t="shared" si="180"/>
        <v>0101</v>
      </c>
      <c r="B1899" s="3" t="s">
        <v>21</v>
      </c>
      <c r="C1899" s="3" t="str">
        <f>"李立雪"</f>
        <v>李立雪</v>
      </c>
      <c r="D1899" s="3" t="str">
        <f t="shared" si="178"/>
        <v>女</v>
      </c>
      <c r="E1899" s="3" t="str">
        <f>"2507016506"</f>
        <v>2507016506</v>
      </c>
      <c r="F1899" s="3" t="str">
        <f t="shared" si="179"/>
        <v>65</v>
      </c>
      <c r="G1899" s="4" t="str">
        <f>"06"</f>
        <v>06</v>
      </c>
      <c r="H1899" s="5">
        <v>74.8</v>
      </c>
      <c r="I1899" s="3"/>
    </row>
    <row r="1900" customHeight="1" spans="1:9">
      <c r="A1900" s="3" t="str">
        <f t="shared" si="180"/>
        <v>0101</v>
      </c>
      <c r="B1900" s="3" t="s">
        <v>21</v>
      </c>
      <c r="C1900" s="3" t="str">
        <f>"石卓灵"</f>
        <v>石卓灵</v>
      </c>
      <c r="D1900" s="3" t="str">
        <f t="shared" si="178"/>
        <v>女</v>
      </c>
      <c r="E1900" s="3" t="str">
        <f>"2507016507"</f>
        <v>2507016507</v>
      </c>
      <c r="F1900" s="3" t="str">
        <f t="shared" si="179"/>
        <v>65</v>
      </c>
      <c r="G1900" s="4" t="str">
        <f>"07"</f>
        <v>07</v>
      </c>
      <c r="H1900" s="5">
        <v>67.5</v>
      </c>
      <c r="I1900" s="3"/>
    </row>
    <row r="1901" customHeight="1" spans="1:9">
      <c r="A1901" s="3" t="str">
        <f t="shared" si="180"/>
        <v>0101</v>
      </c>
      <c r="B1901" s="3" t="s">
        <v>21</v>
      </c>
      <c r="C1901" s="3" t="str">
        <f>"高翠"</f>
        <v>高翠</v>
      </c>
      <c r="D1901" s="3" t="str">
        <f t="shared" si="178"/>
        <v>女</v>
      </c>
      <c r="E1901" s="3" t="str">
        <f>"2507016508"</f>
        <v>2507016508</v>
      </c>
      <c r="F1901" s="3" t="str">
        <f t="shared" si="179"/>
        <v>65</v>
      </c>
      <c r="G1901" s="4" t="str">
        <f>"08"</f>
        <v>08</v>
      </c>
      <c r="H1901" s="5">
        <v>73.2</v>
      </c>
      <c r="I1901" s="3"/>
    </row>
    <row r="1902" customHeight="1" spans="1:9">
      <c r="A1902" s="3" t="str">
        <f t="shared" si="180"/>
        <v>0101</v>
      </c>
      <c r="B1902" s="3" t="s">
        <v>21</v>
      </c>
      <c r="C1902" s="3" t="str">
        <f>"张慧"</f>
        <v>张慧</v>
      </c>
      <c r="D1902" s="3" t="str">
        <f t="shared" si="178"/>
        <v>女</v>
      </c>
      <c r="E1902" s="3" t="str">
        <f>"2507016509"</f>
        <v>2507016509</v>
      </c>
      <c r="F1902" s="3" t="str">
        <f t="shared" si="179"/>
        <v>65</v>
      </c>
      <c r="G1902" s="4" t="str">
        <f>"09"</f>
        <v>09</v>
      </c>
      <c r="H1902" s="5">
        <v>75.6</v>
      </c>
      <c r="I1902" s="3"/>
    </row>
    <row r="1903" customHeight="1" spans="1:9">
      <c r="A1903" s="3" t="str">
        <f t="shared" si="180"/>
        <v>0101</v>
      </c>
      <c r="B1903" s="3" t="s">
        <v>21</v>
      </c>
      <c r="C1903" s="3" t="str">
        <f>"徐畅"</f>
        <v>徐畅</v>
      </c>
      <c r="D1903" s="3" t="str">
        <f t="shared" si="178"/>
        <v>女</v>
      </c>
      <c r="E1903" s="3" t="str">
        <f>"2507016510"</f>
        <v>2507016510</v>
      </c>
      <c r="F1903" s="3" t="str">
        <f t="shared" si="179"/>
        <v>65</v>
      </c>
      <c r="G1903" s="4" t="str">
        <f>"10"</f>
        <v>10</v>
      </c>
      <c r="H1903" s="5">
        <v>0</v>
      </c>
      <c r="I1903" s="3" t="s">
        <v>11</v>
      </c>
    </row>
    <row r="1904" customHeight="1" spans="1:9">
      <c r="A1904" s="3" t="str">
        <f t="shared" si="180"/>
        <v>0101</v>
      </c>
      <c r="B1904" s="3" t="s">
        <v>21</v>
      </c>
      <c r="C1904" s="3" t="str">
        <f>"梁梦娇"</f>
        <v>梁梦娇</v>
      </c>
      <c r="D1904" s="3" t="str">
        <f t="shared" si="178"/>
        <v>女</v>
      </c>
      <c r="E1904" s="3" t="str">
        <f>"2507016511"</f>
        <v>2507016511</v>
      </c>
      <c r="F1904" s="3" t="str">
        <f t="shared" si="179"/>
        <v>65</v>
      </c>
      <c r="G1904" s="4" t="str">
        <f>"11"</f>
        <v>11</v>
      </c>
      <c r="H1904" s="5">
        <v>68.4</v>
      </c>
      <c r="I1904" s="3"/>
    </row>
    <row r="1905" customHeight="1" spans="1:9">
      <c r="A1905" s="3" t="str">
        <f t="shared" si="180"/>
        <v>0101</v>
      </c>
      <c r="B1905" s="3" t="s">
        <v>21</v>
      </c>
      <c r="C1905" s="3" t="str">
        <f>"凌佳绘"</f>
        <v>凌佳绘</v>
      </c>
      <c r="D1905" s="3" t="str">
        <f t="shared" si="178"/>
        <v>女</v>
      </c>
      <c r="E1905" s="3" t="str">
        <f>"2507016512"</f>
        <v>2507016512</v>
      </c>
      <c r="F1905" s="3" t="str">
        <f t="shared" si="179"/>
        <v>65</v>
      </c>
      <c r="G1905" s="4" t="str">
        <f>"12"</f>
        <v>12</v>
      </c>
      <c r="H1905" s="5">
        <v>74.7</v>
      </c>
      <c r="I1905" s="3"/>
    </row>
    <row r="1906" customHeight="1" spans="1:9">
      <c r="A1906" s="3" t="str">
        <f t="shared" si="180"/>
        <v>0101</v>
      </c>
      <c r="B1906" s="3" t="s">
        <v>21</v>
      </c>
      <c r="C1906" s="3" t="str">
        <f>"高鑫"</f>
        <v>高鑫</v>
      </c>
      <c r="D1906" s="3" t="str">
        <f t="shared" si="178"/>
        <v>女</v>
      </c>
      <c r="E1906" s="3" t="str">
        <f>"2507016513"</f>
        <v>2507016513</v>
      </c>
      <c r="F1906" s="3" t="str">
        <f t="shared" si="179"/>
        <v>65</v>
      </c>
      <c r="G1906" s="4" t="str">
        <f>"13"</f>
        <v>13</v>
      </c>
      <c r="H1906" s="5">
        <v>79.9</v>
      </c>
      <c r="I1906" s="3"/>
    </row>
    <row r="1907" customHeight="1" spans="1:9">
      <c r="A1907" s="3" t="str">
        <f t="shared" si="180"/>
        <v>0101</v>
      </c>
      <c r="B1907" s="3" t="s">
        <v>21</v>
      </c>
      <c r="C1907" s="3" t="str">
        <f>"徐瑞珩"</f>
        <v>徐瑞珩</v>
      </c>
      <c r="D1907" s="3" t="str">
        <f t="shared" si="178"/>
        <v>女</v>
      </c>
      <c r="E1907" s="3" t="str">
        <f>"2507016514"</f>
        <v>2507016514</v>
      </c>
      <c r="F1907" s="3" t="str">
        <f t="shared" si="179"/>
        <v>65</v>
      </c>
      <c r="G1907" s="4" t="str">
        <f>"14"</f>
        <v>14</v>
      </c>
      <c r="H1907" s="5">
        <v>0</v>
      </c>
      <c r="I1907" s="3" t="s">
        <v>11</v>
      </c>
    </row>
    <row r="1908" customHeight="1" spans="1:9">
      <c r="A1908" s="3" t="str">
        <f t="shared" si="180"/>
        <v>0101</v>
      </c>
      <c r="B1908" s="3" t="s">
        <v>21</v>
      </c>
      <c r="C1908" s="3" t="str">
        <f>"邱怡瑾"</f>
        <v>邱怡瑾</v>
      </c>
      <c r="D1908" s="3" t="str">
        <f t="shared" si="178"/>
        <v>女</v>
      </c>
      <c r="E1908" s="3" t="str">
        <f>"2507016515"</f>
        <v>2507016515</v>
      </c>
      <c r="F1908" s="3" t="str">
        <f t="shared" si="179"/>
        <v>65</v>
      </c>
      <c r="G1908" s="4" t="str">
        <f>"15"</f>
        <v>15</v>
      </c>
      <c r="H1908" s="5">
        <v>0</v>
      </c>
      <c r="I1908" s="3" t="s">
        <v>11</v>
      </c>
    </row>
    <row r="1909" customHeight="1" spans="1:9">
      <c r="A1909" s="3" t="str">
        <f t="shared" si="180"/>
        <v>0101</v>
      </c>
      <c r="B1909" s="3" t="s">
        <v>21</v>
      </c>
      <c r="C1909" s="3" t="str">
        <f>"刘亦婷"</f>
        <v>刘亦婷</v>
      </c>
      <c r="D1909" s="3" t="str">
        <f t="shared" si="178"/>
        <v>女</v>
      </c>
      <c r="E1909" s="3" t="str">
        <f>"2507016516"</f>
        <v>2507016516</v>
      </c>
      <c r="F1909" s="3" t="str">
        <f t="shared" si="179"/>
        <v>65</v>
      </c>
      <c r="G1909" s="4" t="str">
        <f>"16"</f>
        <v>16</v>
      </c>
      <c r="H1909" s="5">
        <v>77.2</v>
      </c>
      <c r="I1909" s="3"/>
    </row>
    <row r="1910" customHeight="1" spans="1:9">
      <c r="A1910" s="3" t="str">
        <f t="shared" si="180"/>
        <v>0101</v>
      </c>
      <c r="B1910" s="3" t="s">
        <v>21</v>
      </c>
      <c r="C1910" s="3" t="str">
        <f>"高文杰"</f>
        <v>高文杰</v>
      </c>
      <c r="D1910" s="3" t="str">
        <f t="shared" si="178"/>
        <v>女</v>
      </c>
      <c r="E1910" s="3" t="str">
        <f>"2507016517"</f>
        <v>2507016517</v>
      </c>
      <c r="F1910" s="3" t="str">
        <f t="shared" si="179"/>
        <v>65</v>
      </c>
      <c r="G1910" s="4" t="str">
        <f>"17"</f>
        <v>17</v>
      </c>
      <c r="H1910" s="5">
        <v>77.6</v>
      </c>
      <c r="I1910" s="3"/>
    </row>
    <row r="1911" customHeight="1" spans="1:9">
      <c r="A1911" s="3" t="str">
        <f t="shared" si="180"/>
        <v>0101</v>
      </c>
      <c r="B1911" s="3" t="s">
        <v>21</v>
      </c>
      <c r="C1911" s="3" t="str">
        <f>"周凡琪"</f>
        <v>周凡琪</v>
      </c>
      <c r="D1911" s="3" t="str">
        <f t="shared" si="178"/>
        <v>女</v>
      </c>
      <c r="E1911" s="3" t="str">
        <f>"2507016518"</f>
        <v>2507016518</v>
      </c>
      <c r="F1911" s="3" t="str">
        <f t="shared" si="179"/>
        <v>65</v>
      </c>
      <c r="G1911" s="4" t="str">
        <f>"18"</f>
        <v>18</v>
      </c>
      <c r="H1911" s="5">
        <v>63.7</v>
      </c>
      <c r="I1911" s="3"/>
    </row>
    <row r="1912" customHeight="1" spans="1:9">
      <c r="A1912" s="3" t="str">
        <f t="shared" si="180"/>
        <v>0101</v>
      </c>
      <c r="B1912" s="3" t="s">
        <v>21</v>
      </c>
      <c r="C1912" s="3" t="str">
        <f>"王孜奕"</f>
        <v>王孜奕</v>
      </c>
      <c r="D1912" s="3" t="str">
        <f t="shared" si="178"/>
        <v>女</v>
      </c>
      <c r="E1912" s="3" t="str">
        <f>"2507016519"</f>
        <v>2507016519</v>
      </c>
      <c r="F1912" s="3" t="str">
        <f t="shared" si="179"/>
        <v>65</v>
      </c>
      <c r="G1912" s="4" t="str">
        <f>"19"</f>
        <v>19</v>
      </c>
      <c r="H1912" s="5">
        <v>77.2</v>
      </c>
      <c r="I1912" s="3"/>
    </row>
    <row r="1913" customHeight="1" spans="1:9">
      <c r="A1913" s="3" t="str">
        <f t="shared" si="180"/>
        <v>0101</v>
      </c>
      <c r="B1913" s="3" t="s">
        <v>21</v>
      </c>
      <c r="C1913" s="3" t="str">
        <f>"虞湾湾"</f>
        <v>虞湾湾</v>
      </c>
      <c r="D1913" s="3" t="str">
        <f t="shared" si="178"/>
        <v>女</v>
      </c>
      <c r="E1913" s="3" t="str">
        <f>"2507016520"</f>
        <v>2507016520</v>
      </c>
      <c r="F1913" s="3" t="str">
        <f t="shared" si="179"/>
        <v>65</v>
      </c>
      <c r="G1913" s="4" t="str">
        <f>"20"</f>
        <v>20</v>
      </c>
      <c r="H1913" s="5">
        <v>69.1</v>
      </c>
      <c r="I1913" s="3"/>
    </row>
    <row r="1914" customHeight="1" spans="1:9">
      <c r="A1914" s="3" t="str">
        <f t="shared" si="180"/>
        <v>0101</v>
      </c>
      <c r="B1914" s="3" t="s">
        <v>21</v>
      </c>
      <c r="C1914" s="3" t="str">
        <f>"赵致艺"</f>
        <v>赵致艺</v>
      </c>
      <c r="D1914" s="3" t="str">
        <f t="shared" si="178"/>
        <v>女</v>
      </c>
      <c r="E1914" s="3" t="str">
        <f>"2507016521"</f>
        <v>2507016521</v>
      </c>
      <c r="F1914" s="3" t="str">
        <f t="shared" si="179"/>
        <v>65</v>
      </c>
      <c r="G1914" s="4" t="str">
        <f>"21"</f>
        <v>21</v>
      </c>
      <c r="H1914" s="5">
        <v>76.3</v>
      </c>
      <c r="I1914" s="3"/>
    </row>
    <row r="1915" customHeight="1" spans="1:9">
      <c r="A1915" s="3" t="str">
        <f t="shared" si="180"/>
        <v>0101</v>
      </c>
      <c r="B1915" s="3" t="s">
        <v>21</v>
      </c>
      <c r="C1915" s="3" t="str">
        <f>"滕紫媛"</f>
        <v>滕紫媛</v>
      </c>
      <c r="D1915" s="3" t="str">
        <f t="shared" si="178"/>
        <v>女</v>
      </c>
      <c r="E1915" s="3" t="str">
        <f>"2507016522"</f>
        <v>2507016522</v>
      </c>
      <c r="F1915" s="3" t="str">
        <f t="shared" si="179"/>
        <v>65</v>
      </c>
      <c r="G1915" s="4" t="str">
        <f>"22"</f>
        <v>22</v>
      </c>
      <c r="H1915" s="5">
        <v>76.3</v>
      </c>
      <c r="I1915" s="3"/>
    </row>
    <row r="1916" customHeight="1" spans="1:9">
      <c r="A1916" s="3" t="str">
        <f t="shared" si="180"/>
        <v>0101</v>
      </c>
      <c r="B1916" s="3" t="s">
        <v>21</v>
      </c>
      <c r="C1916" s="3" t="str">
        <f>"房文璟"</f>
        <v>房文璟</v>
      </c>
      <c r="D1916" s="3" t="str">
        <f t="shared" si="178"/>
        <v>女</v>
      </c>
      <c r="E1916" s="3" t="str">
        <f>"2507016523"</f>
        <v>2507016523</v>
      </c>
      <c r="F1916" s="3" t="str">
        <f t="shared" si="179"/>
        <v>65</v>
      </c>
      <c r="G1916" s="4" t="str">
        <f>"23"</f>
        <v>23</v>
      </c>
      <c r="H1916" s="5">
        <v>77</v>
      </c>
      <c r="I1916" s="3"/>
    </row>
    <row r="1917" customHeight="1" spans="1:9">
      <c r="A1917" s="3" t="str">
        <f t="shared" si="180"/>
        <v>0101</v>
      </c>
      <c r="B1917" s="3" t="s">
        <v>21</v>
      </c>
      <c r="C1917" s="3" t="str">
        <f>"赵梦梦"</f>
        <v>赵梦梦</v>
      </c>
      <c r="D1917" s="3" t="str">
        <f t="shared" si="178"/>
        <v>女</v>
      </c>
      <c r="E1917" s="3" t="str">
        <f>"2507016524"</f>
        <v>2507016524</v>
      </c>
      <c r="F1917" s="3" t="str">
        <f t="shared" si="179"/>
        <v>65</v>
      </c>
      <c r="G1917" s="4" t="str">
        <f>"24"</f>
        <v>24</v>
      </c>
      <c r="H1917" s="5">
        <v>0</v>
      </c>
      <c r="I1917" s="3" t="s">
        <v>11</v>
      </c>
    </row>
    <row r="1918" customHeight="1" spans="1:9">
      <c r="A1918" s="3" t="str">
        <f t="shared" si="180"/>
        <v>0101</v>
      </c>
      <c r="B1918" s="3" t="s">
        <v>21</v>
      </c>
      <c r="C1918" s="3" t="str">
        <f>"杨程成"</f>
        <v>杨程成</v>
      </c>
      <c r="D1918" s="3" t="str">
        <f t="shared" si="178"/>
        <v>女</v>
      </c>
      <c r="E1918" s="3" t="str">
        <f>"2507016525"</f>
        <v>2507016525</v>
      </c>
      <c r="F1918" s="3" t="str">
        <f t="shared" si="179"/>
        <v>65</v>
      </c>
      <c r="G1918" s="4" t="str">
        <f>"25"</f>
        <v>25</v>
      </c>
      <c r="H1918" s="5">
        <v>0</v>
      </c>
      <c r="I1918" s="3" t="s">
        <v>11</v>
      </c>
    </row>
    <row r="1919" customHeight="1" spans="1:9">
      <c r="A1919" s="3" t="str">
        <f t="shared" si="180"/>
        <v>0101</v>
      </c>
      <c r="B1919" s="3" t="s">
        <v>21</v>
      </c>
      <c r="C1919" s="3" t="str">
        <f>"姜蒙"</f>
        <v>姜蒙</v>
      </c>
      <c r="D1919" s="3" t="str">
        <f t="shared" si="178"/>
        <v>女</v>
      </c>
      <c r="E1919" s="3" t="str">
        <f>"2507016526"</f>
        <v>2507016526</v>
      </c>
      <c r="F1919" s="3" t="str">
        <f t="shared" si="179"/>
        <v>65</v>
      </c>
      <c r="G1919" s="4" t="str">
        <f>"26"</f>
        <v>26</v>
      </c>
      <c r="H1919" s="5">
        <v>73.3</v>
      </c>
      <c r="I1919" s="3"/>
    </row>
    <row r="1920" customHeight="1" spans="1:9">
      <c r="A1920" s="3" t="str">
        <f t="shared" si="180"/>
        <v>0101</v>
      </c>
      <c r="B1920" s="3" t="s">
        <v>21</v>
      </c>
      <c r="C1920" s="3" t="str">
        <f>"于澜"</f>
        <v>于澜</v>
      </c>
      <c r="D1920" s="3" t="str">
        <f t="shared" si="178"/>
        <v>女</v>
      </c>
      <c r="E1920" s="3" t="str">
        <f>"2507016527"</f>
        <v>2507016527</v>
      </c>
      <c r="F1920" s="3" t="str">
        <f t="shared" si="179"/>
        <v>65</v>
      </c>
      <c r="G1920" s="4" t="str">
        <f>"27"</f>
        <v>27</v>
      </c>
      <c r="H1920" s="5">
        <v>74.1</v>
      </c>
      <c r="I1920" s="3"/>
    </row>
    <row r="1921" customHeight="1" spans="1:9">
      <c r="A1921" s="3" t="str">
        <f t="shared" si="180"/>
        <v>0101</v>
      </c>
      <c r="B1921" s="3" t="s">
        <v>21</v>
      </c>
      <c r="C1921" s="3" t="str">
        <f>"张瀚文"</f>
        <v>张瀚文</v>
      </c>
      <c r="D1921" s="3" t="str">
        <f t="shared" si="178"/>
        <v>女</v>
      </c>
      <c r="E1921" s="3" t="str">
        <f>"2507016528"</f>
        <v>2507016528</v>
      </c>
      <c r="F1921" s="3" t="str">
        <f t="shared" si="179"/>
        <v>65</v>
      </c>
      <c r="G1921" s="4" t="str">
        <f>"28"</f>
        <v>28</v>
      </c>
      <c r="H1921" s="5">
        <v>73.2</v>
      </c>
      <c r="I1921" s="3"/>
    </row>
    <row r="1922" customHeight="1" spans="1:9">
      <c r="A1922" s="3" t="str">
        <f t="shared" si="180"/>
        <v>0101</v>
      </c>
      <c r="B1922" s="3" t="s">
        <v>21</v>
      </c>
      <c r="C1922" s="3" t="str">
        <f>"李惠灵"</f>
        <v>李惠灵</v>
      </c>
      <c r="D1922" s="3" t="str">
        <f t="shared" si="178"/>
        <v>女</v>
      </c>
      <c r="E1922" s="3" t="str">
        <f>"2507016529"</f>
        <v>2507016529</v>
      </c>
      <c r="F1922" s="3" t="str">
        <f t="shared" si="179"/>
        <v>65</v>
      </c>
      <c r="G1922" s="4" t="str">
        <f>"29"</f>
        <v>29</v>
      </c>
      <c r="H1922" s="5">
        <v>0</v>
      </c>
      <c r="I1922" s="3" t="s">
        <v>11</v>
      </c>
    </row>
    <row r="1923" customHeight="1" spans="1:9">
      <c r="A1923" s="3" t="str">
        <f t="shared" si="180"/>
        <v>0101</v>
      </c>
      <c r="B1923" s="3" t="s">
        <v>21</v>
      </c>
      <c r="C1923" s="3" t="str">
        <f>"郑惠文"</f>
        <v>郑惠文</v>
      </c>
      <c r="D1923" s="3" t="str">
        <f t="shared" si="178"/>
        <v>女</v>
      </c>
      <c r="E1923" s="3" t="str">
        <f>"2507016530"</f>
        <v>2507016530</v>
      </c>
      <c r="F1923" s="3" t="str">
        <f t="shared" si="179"/>
        <v>65</v>
      </c>
      <c r="G1923" s="4" t="str">
        <f>"30"</f>
        <v>30</v>
      </c>
      <c r="H1923" s="5">
        <v>70.8</v>
      </c>
      <c r="I1923" s="3"/>
    </row>
    <row r="1924" customHeight="1" spans="1:9">
      <c r="A1924" s="3" t="str">
        <f t="shared" si="180"/>
        <v>0101</v>
      </c>
      <c r="B1924" s="3" t="s">
        <v>21</v>
      </c>
      <c r="C1924" s="3" t="str">
        <f>"李玉兰"</f>
        <v>李玉兰</v>
      </c>
      <c r="D1924" s="3" t="str">
        <f t="shared" si="178"/>
        <v>女</v>
      </c>
      <c r="E1924" s="3" t="str">
        <f>"2507016601"</f>
        <v>2507016601</v>
      </c>
      <c r="F1924" s="3" t="str">
        <f t="shared" ref="F1924:F1954" si="181">"66"</f>
        <v>66</v>
      </c>
      <c r="G1924" s="4" t="str">
        <f>"01"</f>
        <v>01</v>
      </c>
      <c r="H1924" s="5">
        <v>82</v>
      </c>
      <c r="I1924" s="3"/>
    </row>
    <row r="1925" customHeight="1" spans="1:9">
      <c r="A1925" s="3" t="str">
        <f t="shared" si="180"/>
        <v>0101</v>
      </c>
      <c r="B1925" s="3" t="s">
        <v>21</v>
      </c>
      <c r="C1925" s="3" t="str">
        <f>"李小迪"</f>
        <v>李小迪</v>
      </c>
      <c r="D1925" s="3" t="str">
        <f t="shared" si="178"/>
        <v>女</v>
      </c>
      <c r="E1925" s="3" t="str">
        <f>"2507016602"</f>
        <v>2507016602</v>
      </c>
      <c r="F1925" s="3" t="str">
        <f t="shared" si="181"/>
        <v>66</v>
      </c>
      <c r="G1925" s="4" t="str">
        <f>"02"</f>
        <v>02</v>
      </c>
      <c r="H1925" s="5">
        <v>75.6</v>
      </c>
      <c r="I1925" s="3"/>
    </row>
    <row r="1926" customHeight="1" spans="1:9">
      <c r="A1926" s="3" t="str">
        <f t="shared" si="180"/>
        <v>0101</v>
      </c>
      <c r="B1926" s="3" t="s">
        <v>21</v>
      </c>
      <c r="C1926" s="3" t="str">
        <f>"林冉"</f>
        <v>林冉</v>
      </c>
      <c r="D1926" s="3" t="str">
        <f t="shared" si="178"/>
        <v>女</v>
      </c>
      <c r="E1926" s="3" t="str">
        <f>"2507016603"</f>
        <v>2507016603</v>
      </c>
      <c r="F1926" s="3" t="str">
        <f t="shared" si="181"/>
        <v>66</v>
      </c>
      <c r="G1926" s="4" t="str">
        <f>"03"</f>
        <v>03</v>
      </c>
      <c r="H1926" s="5">
        <v>76.1</v>
      </c>
      <c r="I1926" s="3"/>
    </row>
    <row r="1927" customHeight="1" spans="1:9">
      <c r="A1927" s="3" t="str">
        <f t="shared" si="180"/>
        <v>0101</v>
      </c>
      <c r="B1927" s="3" t="s">
        <v>21</v>
      </c>
      <c r="C1927" s="3" t="str">
        <f>"时晓缓"</f>
        <v>时晓缓</v>
      </c>
      <c r="D1927" s="3" t="str">
        <f t="shared" si="178"/>
        <v>女</v>
      </c>
      <c r="E1927" s="3" t="str">
        <f>"2507016604"</f>
        <v>2507016604</v>
      </c>
      <c r="F1927" s="3" t="str">
        <f t="shared" si="181"/>
        <v>66</v>
      </c>
      <c r="G1927" s="4" t="str">
        <f>"04"</f>
        <v>04</v>
      </c>
      <c r="H1927" s="5">
        <v>76.7</v>
      </c>
      <c r="I1927" s="3"/>
    </row>
    <row r="1928" customHeight="1" spans="1:9">
      <c r="A1928" s="3" t="str">
        <f t="shared" si="180"/>
        <v>0101</v>
      </c>
      <c r="B1928" s="3" t="s">
        <v>21</v>
      </c>
      <c r="C1928" s="3" t="str">
        <f>"李玲"</f>
        <v>李玲</v>
      </c>
      <c r="D1928" s="3" t="str">
        <f t="shared" si="178"/>
        <v>女</v>
      </c>
      <c r="E1928" s="3" t="str">
        <f>"2507016605"</f>
        <v>2507016605</v>
      </c>
      <c r="F1928" s="3" t="str">
        <f t="shared" si="181"/>
        <v>66</v>
      </c>
      <c r="G1928" s="4" t="str">
        <f>"05"</f>
        <v>05</v>
      </c>
      <c r="H1928" s="5">
        <v>75.3</v>
      </c>
      <c r="I1928" s="3"/>
    </row>
    <row r="1929" customHeight="1" spans="1:9">
      <c r="A1929" s="3" t="str">
        <f t="shared" si="180"/>
        <v>0101</v>
      </c>
      <c r="B1929" s="3" t="s">
        <v>21</v>
      </c>
      <c r="C1929" s="3" t="str">
        <f>"邱嘉慧"</f>
        <v>邱嘉慧</v>
      </c>
      <c r="D1929" s="3" t="str">
        <f t="shared" si="178"/>
        <v>女</v>
      </c>
      <c r="E1929" s="3" t="str">
        <f>"2507016606"</f>
        <v>2507016606</v>
      </c>
      <c r="F1929" s="3" t="str">
        <f t="shared" si="181"/>
        <v>66</v>
      </c>
      <c r="G1929" s="4" t="str">
        <f>"06"</f>
        <v>06</v>
      </c>
      <c r="H1929" s="5">
        <v>63.3</v>
      </c>
      <c r="I1929" s="3"/>
    </row>
    <row r="1930" customHeight="1" spans="1:9">
      <c r="A1930" s="3" t="str">
        <f t="shared" si="180"/>
        <v>0101</v>
      </c>
      <c r="B1930" s="3" t="s">
        <v>21</v>
      </c>
      <c r="C1930" s="3" t="str">
        <f>"刘容"</f>
        <v>刘容</v>
      </c>
      <c r="D1930" s="3" t="str">
        <f t="shared" si="178"/>
        <v>女</v>
      </c>
      <c r="E1930" s="3" t="str">
        <f>"2507016607"</f>
        <v>2507016607</v>
      </c>
      <c r="F1930" s="3" t="str">
        <f t="shared" si="181"/>
        <v>66</v>
      </c>
      <c r="G1930" s="4" t="str">
        <f>"07"</f>
        <v>07</v>
      </c>
      <c r="H1930" s="5">
        <v>0</v>
      </c>
      <c r="I1930" s="3" t="s">
        <v>11</v>
      </c>
    </row>
    <row r="1931" customHeight="1" spans="1:9">
      <c r="A1931" s="3" t="str">
        <f t="shared" si="180"/>
        <v>0101</v>
      </c>
      <c r="B1931" s="3" t="s">
        <v>21</v>
      </c>
      <c r="C1931" s="3" t="str">
        <f>"刘金茹"</f>
        <v>刘金茹</v>
      </c>
      <c r="D1931" s="3" t="str">
        <f t="shared" si="178"/>
        <v>女</v>
      </c>
      <c r="E1931" s="3" t="str">
        <f>"2507016608"</f>
        <v>2507016608</v>
      </c>
      <c r="F1931" s="3" t="str">
        <f t="shared" si="181"/>
        <v>66</v>
      </c>
      <c r="G1931" s="4" t="str">
        <f>"08"</f>
        <v>08</v>
      </c>
      <c r="H1931" s="5">
        <v>70</v>
      </c>
      <c r="I1931" s="3"/>
    </row>
    <row r="1932" customHeight="1" spans="1:9">
      <c r="A1932" s="3" t="str">
        <f t="shared" si="180"/>
        <v>0101</v>
      </c>
      <c r="B1932" s="3" t="s">
        <v>21</v>
      </c>
      <c r="C1932" s="3" t="str">
        <f>"张明森"</f>
        <v>张明森</v>
      </c>
      <c r="D1932" s="3" t="str">
        <f>"男"</f>
        <v>男</v>
      </c>
      <c r="E1932" s="3" t="str">
        <f>"2507016609"</f>
        <v>2507016609</v>
      </c>
      <c r="F1932" s="3" t="str">
        <f t="shared" si="181"/>
        <v>66</v>
      </c>
      <c r="G1932" s="4" t="str">
        <f>"09"</f>
        <v>09</v>
      </c>
      <c r="H1932" s="5">
        <v>0</v>
      </c>
      <c r="I1932" s="3" t="s">
        <v>11</v>
      </c>
    </row>
    <row r="1933" customHeight="1" spans="1:9">
      <c r="A1933" s="3" t="str">
        <f t="shared" si="180"/>
        <v>0101</v>
      </c>
      <c r="B1933" s="3" t="s">
        <v>21</v>
      </c>
      <c r="C1933" s="3" t="str">
        <f>"郭婷"</f>
        <v>郭婷</v>
      </c>
      <c r="D1933" s="3" t="str">
        <f>"女"</f>
        <v>女</v>
      </c>
      <c r="E1933" s="3" t="str">
        <f>"2507016610"</f>
        <v>2507016610</v>
      </c>
      <c r="F1933" s="3" t="str">
        <f t="shared" si="181"/>
        <v>66</v>
      </c>
      <c r="G1933" s="4" t="str">
        <f>"10"</f>
        <v>10</v>
      </c>
      <c r="H1933" s="5">
        <v>0</v>
      </c>
      <c r="I1933" s="3" t="s">
        <v>11</v>
      </c>
    </row>
    <row r="1934" customHeight="1" spans="1:9">
      <c r="A1934" s="3" t="str">
        <f t="shared" si="180"/>
        <v>0101</v>
      </c>
      <c r="B1934" s="3" t="s">
        <v>21</v>
      </c>
      <c r="C1934" s="3" t="str">
        <f>"吴艳艳"</f>
        <v>吴艳艳</v>
      </c>
      <c r="D1934" s="3" t="str">
        <f>"女"</f>
        <v>女</v>
      </c>
      <c r="E1934" s="3" t="str">
        <f>"2507016611"</f>
        <v>2507016611</v>
      </c>
      <c r="F1934" s="3" t="str">
        <f t="shared" si="181"/>
        <v>66</v>
      </c>
      <c r="G1934" s="4" t="str">
        <f>"11"</f>
        <v>11</v>
      </c>
      <c r="H1934" s="5">
        <v>80.4</v>
      </c>
      <c r="I1934" s="3"/>
    </row>
    <row r="1935" customHeight="1" spans="1:9">
      <c r="A1935" s="3" t="str">
        <f t="shared" si="180"/>
        <v>0101</v>
      </c>
      <c r="B1935" s="3" t="s">
        <v>21</v>
      </c>
      <c r="C1935" s="3" t="str">
        <f>"王星"</f>
        <v>王星</v>
      </c>
      <c r="D1935" s="3" t="str">
        <f>"女"</f>
        <v>女</v>
      </c>
      <c r="E1935" s="3" t="str">
        <f>"2507016612"</f>
        <v>2507016612</v>
      </c>
      <c r="F1935" s="3" t="str">
        <f t="shared" si="181"/>
        <v>66</v>
      </c>
      <c r="G1935" s="4" t="str">
        <f>"12"</f>
        <v>12</v>
      </c>
      <c r="H1935" s="5">
        <v>66.9</v>
      </c>
      <c r="I1935" s="3"/>
    </row>
    <row r="1936" customHeight="1" spans="1:9">
      <c r="A1936" s="3" t="str">
        <f t="shared" si="180"/>
        <v>0101</v>
      </c>
      <c r="B1936" s="3" t="s">
        <v>21</v>
      </c>
      <c r="C1936" s="3" t="str">
        <f>"卓鹏"</f>
        <v>卓鹏</v>
      </c>
      <c r="D1936" s="3" t="str">
        <f>"男"</f>
        <v>男</v>
      </c>
      <c r="E1936" s="3" t="str">
        <f>"2507016613"</f>
        <v>2507016613</v>
      </c>
      <c r="F1936" s="3" t="str">
        <f t="shared" si="181"/>
        <v>66</v>
      </c>
      <c r="G1936" s="4" t="str">
        <f>"13"</f>
        <v>13</v>
      </c>
      <c r="H1936" s="5">
        <v>58.2</v>
      </c>
      <c r="I1936" s="3"/>
    </row>
    <row r="1937" customHeight="1" spans="1:9">
      <c r="A1937" s="3" t="str">
        <f t="shared" si="180"/>
        <v>0101</v>
      </c>
      <c r="B1937" s="3" t="s">
        <v>21</v>
      </c>
      <c r="C1937" s="3" t="str">
        <f>"盖晓庆"</f>
        <v>盖晓庆</v>
      </c>
      <c r="D1937" s="3" t="str">
        <f t="shared" ref="D1937:D1960" si="182">"女"</f>
        <v>女</v>
      </c>
      <c r="E1937" s="3" t="str">
        <f>"2507016614"</f>
        <v>2507016614</v>
      </c>
      <c r="F1937" s="3" t="str">
        <f t="shared" si="181"/>
        <v>66</v>
      </c>
      <c r="G1937" s="4" t="str">
        <f>"14"</f>
        <v>14</v>
      </c>
      <c r="H1937" s="5">
        <v>75.3</v>
      </c>
      <c r="I1937" s="3"/>
    </row>
    <row r="1938" customHeight="1" spans="1:9">
      <c r="A1938" s="3" t="str">
        <f t="shared" si="180"/>
        <v>0101</v>
      </c>
      <c r="B1938" s="3" t="s">
        <v>21</v>
      </c>
      <c r="C1938" s="3" t="str">
        <f>"潘琪"</f>
        <v>潘琪</v>
      </c>
      <c r="D1938" s="3" t="str">
        <f t="shared" si="182"/>
        <v>女</v>
      </c>
      <c r="E1938" s="3" t="str">
        <f>"2507016615"</f>
        <v>2507016615</v>
      </c>
      <c r="F1938" s="3" t="str">
        <f t="shared" si="181"/>
        <v>66</v>
      </c>
      <c r="G1938" s="4" t="str">
        <f>"15"</f>
        <v>15</v>
      </c>
      <c r="H1938" s="5">
        <v>74.5</v>
      </c>
      <c r="I1938" s="3"/>
    </row>
    <row r="1939" customHeight="1" spans="1:9">
      <c r="A1939" s="3" t="str">
        <f t="shared" si="180"/>
        <v>0101</v>
      </c>
      <c r="B1939" s="3" t="s">
        <v>21</v>
      </c>
      <c r="C1939" s="3" t="str">
        <f>"韩建常"</f>
        <v>韩建常</v>
      </c>
      <c r="D1939" s="3" t="str">
        <f t="shared" si="182"/>
        <v>女</v>
      </c>
      <c r="E1939" s="3" t="str">
        <f>"2507016616"</f>
        <v>2507016616</v>
      </c>
      <c r="F1939" s="3" t="str">
        <f t="shared" si="181"/>
        <v>66</v>
      </c>
      <c r="G1939" s="4" t="str">
        <f>"16"</f>
        <v>16</v>
      </c>
      <c r="H1939" s="5">
        <v>73.2</v>
      </c>
      <c r="I1939" s="3"/>
    </row>
    <row r="1940" customHeight="1" spans="1:9">
      <c r="A1940" s="3" t="str">
        <f t="shared" si="180"/>
        <v>0101</v>
      </c>
      <c r="B1940" s="3" t="s">
        <v>21</v>
      </c>
      <c r="C1940" s="3" t="str">
        <f>"丁丽"</f>
        <v>丁丽</v>
      </c>
      <c r="D1940" s="3" t="str">
        <f t="shared" si="182"/>
        <v>女</v>
      </c>
      <c r="E1940" s="3" t="str">
        <f>"2507016617"</f>
        <v>2507016617</v>
      </c>
      <c r="F1940" s="3" t="str">
        <f t="shared" si="181"/>
        <v>66</v>
      </c>
      <c r="G1940" s="4" t="str">
        <f>"17"</f>
        <v>17</v>
      </c>
      <c r="H1940" s="5">
        <v>0</v>
      </c>
      <c r="I1940" s="3" t="s">
        <v>11</v>
      </c>
    </row>
    <row r="1941" customHeight="1" spans="1:9">
      <c r="A1941" s="3" t="str">
        <f t="shared" si="180"/>
        <v>0101</v>
      </c>
      <c r="B1941" s="3" t="s">
        <v>21</v>
      </c>
      <c r="C1941" s="3" t="str">
        <f>"李晓婵"</f>
        <v>李晓婵</v>
      </c>
      <c r="D1941" s="3" t="str">
        <f t="shared" si="182"/>
        <v>女</v>
      </c>
      <c r="E1941" s="3" t="str">
        <f>"2507016618"</f>
        <v>2507016618</v>
      </c>
      <c r="F1941" s="3" t="str">
        <f t="shared" si="181"/>
        <v>66</v>
      </c>
      <c r="G1941" s="4" t="str">
        <f>"18"</f>
        <v>18</v>
      </c>
      <c r="H1941" s="5">
        <v>0</v>
      </c>
      <c r="I1941" s="3" t="s">
        <v>11</v>
      </c>
    </row>
    <row r="1942" customHeight="1" spans="1:9">
      <c r="A1942" s="3" t="str">
        <f t="shared" si="180"/>
        <v>0101</v>
      </c>
      <c r="B1942" s="3" t="s">
        <v>21</v>
      </c>
      <c r="C1942" s="3" t="str">
        <f>"周千盟"</f>
        <v>周千盟</v>
      </c>
      <c r="D1942" s="3" t="str">
        <f t="shared" si="182"/>
        <v>女</v>
      </c>
      <c r="E1942" s="3" t="str">
        <f>"2507016619"</f>
        <v>2507016619</v>
      </c>
      <c r="F1942" s="3" t="str">
        <f t="shared" si="181"/>
        <v>66</v>
      </c>
      <c r="G1942" s="4" t="str">
        <f>"19"</f>
        <v>19</v>
      </c>
      <c r="H1942" s="5">
        <v>80.1</v>
      </c>
      <c r="I1942" s="3"/>
    </row>
    <row r="1943" customHeight="1" spans="1:9">
      <c r="A1943" s="3" t="str">
        <f t="shared" si="180"/>
        <v>0101</v>
      </c>
      <c r="B1943" s="3" t="s">
        <v>21</v>
      </c>
      <c r="C1943" s="3" t="str">
        <f>"沈苏川"</f>
        <v>沈苏川</v>
      </c>
      <c r="D1943" s="3" t="str">
        <f t="shared" si="182"/>
        <v>女</v>
      </c>
      <c r="E1943" s="3" t="str">
        <f>"2507016620"</f>
        <v>2507016620</v>
      </c>
      <c r="F1943" s="3" t="str">
        <f t="shared" si="181"/>
        <v>66</v>
      </c>
      <c r="G1943" s="4" t="str">
        <f>"20"</f>
        <v>20</v>
      </c>
      <c r="H1943" s="5">
        <v>0</v>
      </c>
      <c r="I1943" s="3" t="s">
        <v>11</v>
      </c>
    </row>
    <row r="1944" customHeight="1" spans="1:9">
      <c r="A1944" s="3" t="str">
        <f t="shared" si="180"/>
        <v>0101</v>
      </c>
      <c r="B1944" s="3" t="s">
        <v>21</v>
      </c>
      <c r="C1944" s="3" t="str">
        <f>"杨悦"</f>
        <v>杨悦</v>
      </c>
      <c r="D1944" s="3" t="str">
        <f t="shared" si="182"/>
        <v>女</v>
      </c>
      <c r="E1944" s="3" t="str">
        <f>"2507016621"</f>
        <v>2507016621</v>
      </c>
      <c r="F1944" s="3" t="str">
        <f t="shared" si="181"/>
        <v>66</v>
      </c>
      <c r="G1944" s="4" t="str">
        <f>"21"</f>
        <v>21</v>
      </c>
      <c r="H1944" s="5">
        <v>72.7</v>
      </c>
      <c r="I1944" s="3"/>
    </row>
    <row r="1945" customHeight="1" spans="1:9">
      <c r="A1945" s="3" t="str">
        <f t="shared" si="180"/>
        <v>0101</v>
      </c>
      <c r="B1945" s="3" t="s">
        <v>21</v>
      </c>
      <c r="C1945" s="3" t="str">
        <f>"王颖"</f>
        <v>王颖</v>
      </c>
      <c r="D1945" s="3" t="str">
        <f t="shared" si="182"/>
        <v>女</v>
      </c>
      <c r="E1945" s="3" t="str">
        <f>"2507016622"</f>
        <v>2507016622</v>
      </c>
      <c r="F1945" s="3" t="str">
        <f t="shared" si="181"/>
        <v>66</v>
      </c>
      <c r="G1945" s="4" t="str">
        <f>"22"</f>
        <v>22</v>
      </c>
      <c r="H1945" s="5">
        <v>72.8</v>
      </c>
      <c r="I1945" s="3"/>
    </row>
    <row r="1946" customHeight="1" spans="1:9">
      <c r="A1946" s="3" t="str">
        <f t="shared" si="180"/>
        <v>0101</v>
      </c>
      <c r="B1946" s="3" t="s">
        <v>21</v>
      </c>
      <c r="C1946" s="3" t="str">
        <f>"张誉丹"</f>
        <v>张誉丹</v>
      </c>
      <c r="D1946" s="3" t="str">
        <f t="shared" si="182"/>
        <v>女</v>
      </c>
      <c r="E1946" s="3" t="str">
        <f>"2507016623"</f>
        <v>2507016623</v>
      </c>
      <c r="F1946" s="3" t="str">
        <f t="shared" si="181"/>
        <v>66</v>
      </c>
      <c r="G1946" s="4" t="str">
        <f>"23"</f>
        <v>23</v>
      </c>
      <c r="H1946" s="5">
        <v>74.8</v>
      </c>
      <c r="I1946" s="3"/>
    </row>
    <row r="1947" customHeight="1" spans="1:9">
      <c r="A1947" s="3" t="str">
        <f t="shared" si="180"/>
        <v>0101</v>
      </c>
      <c r="B1947" s="3" t="s">
        <v>21</v>
      </c>
      <c r="C1947" s="3" t="str">
        <f>"丁雨枫"</f>
        <v>丁雨枫</v>
      </c>
      <c r="D1947" s="3" t="str">
        <f t="shared" si="182"/>
        <v>女</v>
      </c>
      <c r="E1947" s="3" t="str">
        <f>"2507016624"</f>
        <v>2507016624</v>
      </c>
      <c r="F1947" s="3" t="str">
        <f t="shared" si="181"/>
        <v>66</v>
      </c>
      <c r="G1947" s="4" t="str">
        <f>"24"</f>
        <v>24</v>
      </c>
      <c r="H1947" s="5">
        <v>0</v>
      </c>
      <c r="I1947" s="3" t="s">
        <v>11</v>
      </c>
    </row>
    <row r="1948" customHeight="1" spans="1:9">
      <c r="A1948" s="3" t="str">
        <f t="shared" si="180"/>
        <v>0101</v>
      </c>
      <c r="B1948" s="3" t="s">
        <v>21</v>
      </c>
      <c r="C1948" s="3" t="str">
        <f>"廉晨"</f>
        <v>廉晨</v>
      </c>
      <c r="D1948" s="3" t="str">
        <f t="shared" si="182"/>
        <v>女</v>
      </c>
      <c r="E1948" s="3" t="str">
        <f>"2507016625"</f>
        <v>2507016625</v>
      </c>
      <c r="F1948" s="3" t="str">
        <f t="shared" si="181"/>
        <v>66</v>
      </c>
      <c r="G1948" s="4" t="str">
        <f>"25"</f>
        <v>25</v>
      </c>
      <c r="H1948" s="5">
        <v>73.4</v>
      </c>
      <c r="I1948" s="3"/>
    </row>
    <row r="1949" customHeight="1" spans="1:9">
      <c r="A1949" s="3" t="str">
        <f t="shared" si="180"/>
        <v>0101</v>
      </c>
      <c r="B1949" s="3" t="s">
        <v>21</v>
      </c>
      <c r="C1949" s="3" t="str">
        <f>"薛纯"</f>
        <v>薛纯</v>
      </c>
      <c r="D1949" s="3" t="str">
        <f t="shared" si="182"/>
        <v>女</v>
      </c>
      <c r="E1949" s="3" t="str">
        <f>"2507016626"</f>
        <v>2507016626</v>
      </c>
      <c r="F1949" s="3" t="str">
        <f t="shared" si="181"/>
        <v>66</v>
      </c>
      <c r="G1949" s="4" t="str">
        <f>"26"</f>
        <v>26</v>
      </c>
      <c r="H1949" s="5">
        <v>81.4</v>
      </c>
      <c r="I1949" s="3"/>
    </row>
    <row r="1950" customHeight="1" spans="1:9">
      <c r="A1950" s="3" t="str">
        <f t="shared" si="180"/>
        <v>0101</v>
      </c>
      <c r="B1950" s="3" t="s">
        <v>21</v>
      </c>
      <c r="C1950" s="3" t="str">
        <f>"马旭飞"</f>
        <v>马旭飞</v>
      </c>
      <c r="D1950" s="3" t="str">
        <f t="shared" si="182"/>
        <v>女</v>
      </c>
      <c r="E1950" s="3" t="str">
        <f>"2507016627"</f>
        <v>2507016627</v>
      </c>
      <c r="F1950" s="3" t="str">
        <f t="shared" si="181"/>
        <v>66</v>
      </c>
      <c r="G1950" s="4" t="str">
        <f>"27"</f>
        <v>27</v>
      </c>
      <c r="H1950" s="5">
        <v>0</v>
      </c>
      <c r="I1950" s="3" t="s">
        <v>11</v>
      </c>
    </row>
    <row r="1951" customHeight="1" spans="1:9">
      <c r="A1951" s="3" t="str">
        <f t="shared" si="180"/>
        <v>0101</v>
      </c>
      <c r="B1951" s="3" t="s">
        <v>21</v>
      </c>
      <c r="C1951" s="3" t="str">
        <f>"王乙媛"</f>
        <v>王乙媛</v>
      </c>
      <c r="D1951" s="3" t="str">
        <f t="shared" si="182"/>
        <v>女</v>
      </c>
      <c r="E1951" s="3" t="str">
        <f>"2507016628"</f>
        <v>2507016628</v>
      </c>
      <c r="F1951" s="3" t="str">
        <f t="shared" si="181"/>
        <v>66</v>
      </c>
      <c r="G1951" s="4" t="str">
        <f>"28"</f>
        <v>28</v>
      </c>
      <c r="H1951" s="5">
        <v>72.3</v>
      </c>
      <c r="I1951" s="3"/>
    </row>
    <row r="1952" customHeight="1" spans="1:9">
      <c r="A1952" s="3" t="str">
        <f t="shared" si="180"/>
        <v>0101</v>
      </c>
      <c r="B1952" s="3" t="s">
        <v>21</v>
      </c>
      <c r="C1952" s="3" t="str">
        <f>"何俊洁"</f>
        <v>何俊洁</v>
      </c>
      <c r="D1952" s="3" t="str">
        <f t="shared" si="182"/>
        <v>女</v>
      </c>
      <c r="E1952" s="3" t="str">
        <f>"2507016629"</f>
        <v>2507016629</v>
      </c>
      <c r="F1952" s="3" t="str">
        <f t="shared" si="181"/>
        <v>66</v>
      </c>
      <c r="G1952" s="4" t="str">
        <f>"29"</f>
        <v>29</v>
      </c>
      <c r="H1952" s="5">
        <v>68.6</v>
      </c>
      <c r="I1952" s="3"/>
    </row>
    <row r="1953" customHeight="1" spans="1:9">
      <c r="A1953" s="3" t="str">
        <f t="shared" si="180"/>
        <v>0101</v>
      </c>
      <c r="B1953" s="3" t="s">
        <v>21</v>
      </c>
      <c r="C1953" s="3" t="str">
        <f>"李彦欣"</f>
        <v>李彦欣</v>
      </c>
      <c r="D1953" s="3" t="str">
        <f t="shared" si="182"/>
        <v>女</v>
      </c>
      <c r="E1953" s="3" t="str">
        <f>"2507016630"</f>
        <v>2507016630</v>
      </c>
      <c r="F1953" s="3" t="str">
        <f t="shared" si="181"/>
        <v>66</v>
      </c>
      <c r="G1953" s="4" t="str">
        <f>"30"</f>
        <v>30</v>
      </c>
      <c r="H1953" s="5">
        <v>71.7</v>
      </c>
      <c r="I1953" s="3"/>
    </row>
    <row r="1954" customHeight="1" spans="1:9">
      <c r="A1954" s="3" t="str">
        <f t="shared" si="180"/>
        <v>0101</v>
      </c>
      <c r="B1954" s="3" t="s">
        <v>21</v>
      </c>
      <c r="C1954" s="3" t="str">
        <f>"薛子怡"</f>
        <v>薛子怡</v>
      </c>
      <c r="D1954" s="3" t="str">
        <f t="shared" si="182"/>
        <v>女</v>
      </c>
      <c r="E1954" s="3" t="str">
        <f>"2507016631"</f>
        <v>2507016631</v>
      </c>
      <c r="F1954" s="3" t="str">
        <f t="shared" si="181"/>
        <v>66</v>
      </c>
      <c r="G1954" s="4" t="str">
        <f>"31"</f>
        <v>31</v>
      </c>
      <c r="H1954" s="5">
        <v>0</v>
      </c>
      <c r="I1954" s="3" t="s">
        <v>11</v>
      </c>
    </row>
    <row r="1955" customHeight="1" spans="1:9">
      <c r="A1955" s="3" t="str">
        <f t="shared" si="180"/>
        <v>0101</v>
      </c>
      <c r="B1955" s="3" t="s">
        <v>21</v>
      </c>
      <c r="C1955" s="3" t="str">
        <f>"伏芳婷"</f>
        <v>伏芳婷</v>
      </c>
      <c r="D1955" s="3" t="str">
        <f t="shared" si="182"/>
        <v>女</v>
      </c>
      <c r="E1955" s="3" t="str">
        <f>"2507016701"</f>
        <v>2507016701</v>
      </c>
      <c r="F1955" s="3" t="str">
        <f t="shared" ref="F1955:F1985" si="183">"67"</f>
        <v>67</v>
      </c>
      <c r="G1955" s="4" t="str">
        <f>"01"</f>
        <v>01</v>
      </c>
      <c r="H1955" s="5">
        <v>70.7</v>
      </c>
      <c r="I1955" s="3"/>
    </row>
    <row r="1956" customHeight="1" spans="1:9">
      <c r="A1956" s="3" t="str">
        <f t="shared" si="180"/>
        <v>0101</v>
      </c>
      <c r="B1956" s="3" t="s">
        <v>21</v>
      </c>
      <c r="C1956" s="3" t="str">
        <f>"李静婷"</f>
        <v>李静婷</v>
      </c>
      <c r="D1956" s="3" t="str">
        <f t="shared" si="182"/>
        <v>女</v>
      </c>
      <c r="E1956" s="3" t="str">
        <f>"2507016702"</f>
        <v>2507016702</v>
      </c>
      <c r="F1956" s="3" t="str">
        <f t="shared" si="183"/>
        <v>67</v>
      </c>
      <c r="G1956" s="4" t="str">
        <f>"02"</f>
        <v>02</v>
      </c>
      <c r="H1956" s="5">
        <v>0</v>
      </c>
      <c r="I1956" s="3" t="s">
        <v>11</v>
      </c>
    </row>
    <row r="1957" customHeight="1" spans="1:9">
      <c r="A1957" s="3" t="str">
        <f t="shared" si="180"/>
        <v>0101</v>
      </c>
      <c r="B1957" s="3" t="s">
        <v>21</v>
      </c>
      <c r="C1957" s="3" t="str">
        <f>"刘梦媛"</f>
        <v>刘梦媛</v>
      </c>
      <c r="D1957" s="3" t="str">
        <f t="shared" si="182"/>
        <v>女</v>
      </c>
      <c r="E1957" s="3" t="str">
        <f>"2507016703"</f>
        <v>2507016703</v>
      </c>
      <c r="F1957" s="3" t="str">
        <f t="shared" si="183"/>
        <v>67</v>
      </c>
      <c r="G1957" s="4" t="str">
        <f>"03"</f>
        <v>03</v>
      </c>
      <c r="H1957" s="5">
        <v>65.4</v>
      </c>
      <c r="I1957" s="3"/>
    </row>
    <row r="1958" customHeight="1" spans="1:9">
      <c r="A1958" s="3" t="str">
        <f t="shared" si="180"/>
        <v>0101</v>
      </c>
      <c r="B1958" s="3" t="s">
        <v>21</v>
      </c>
      <c r="C1958" s="3" t="str">
        <f>"郭梓涵"</f>
        <v>郭梓涵</v>
      </c>
      <c r="D1958" s="3" t="str">
        <f t="shared" si="182"/>
        <v>女</v>
      </c>
      <c r="E1958" s="3" t="str">
        <f>"2507016704"</f>
        <v>2507016704</v>
      </c>
      <c r="F1958" s="3" t="str">
        <f t="shared" si="183"/>
        <v>67</v>
      </c>
      <c r="G1958" s="4" t="str">
        <f>"04"</f>
        <v>04</v>
      </c>
      <c r="H1958" s="5">
        <v>0</v>
      </c>
      <c r="I1958" s="3" t="s">
        <v>11</v>
      </c>
    </row>
    <row r="1959" customHeight="1" spans="1:9">
      <c r="A1959" s="3" t="str">
        <f t="shared" si="180"/>
        <v>0101</v>
      </c>
      <c r="B1959" s="3" t="s">
        <v>21</v>
      </c>
      <c r="C1959" s="3" t="str">
        <f>"相奕竹"</f>
        <v>相奕竹</v>
      </c>
      <c r="D1959" s="3" t="str">
        <f t="shared" si="182"/>
        <v>女</v>
      </c>
      <c r="E1959" s="3" t="str">
        <f>"2507016705"</f>
        <v>2507016705</v>
      </c>
      <c r="F1959" s="3" t="str">
        <f t="shared" si="183"/>
        <v>67</v>
      </c>
      <c r="G1959" s="4" t="str">
        <f>"05"</f>
        <v>05</v>
      </c>
      <c r="H1959" s="5">
        <v>85</v>
      </c>
      <c r="I1959" s="3"/>
    </row>
    <row r="1960" customHeight="1" spans="1:9">
      <c r="A1960" s="3" t="str">
        <f t="shared" si="180"/>
        <v>0101</v>
      </c>
      <c r="B1960" s="3" t="s">
        <v>21</v>
      </c>
      <c r="C1960" s="3" t="str">
        <f>"薄童童"</f>
        <v>薄童童</v>
      </c>
      <c r="D1960" s="3" t="str">
        <f t="shared" si="182"/>
        <v>女</v>
      </c>
      <c r="E1960" s="3" t="str">
        <f>"2507016706"</f>
        <v>2507016706</v>
      </c>
      <c r="F1960" s="3" t="str">
        <f t="shared" si="183"/>
        <v>67</v>
      </c>
      <c r="G1960" s="4" t="str">
        <f>"06"</f>
        <v>06</v>
      </c>
      <c r="H1960" s="5">
        <v>71.2</v>
      </c>
      <c r="I1960" s="3"/>
    </row>
    <row r="1961" customHeight="1" spans="1:9">
      <c r="A1961" s="3" t="str">
        <f t="shared" si="180"/>
        <v>0101</v>
      </c>
      <c r="B1961" s="3" t="s">
        <v>21</v>
      </c>
      <c r="C1961" s="3" t="str">
        <f>"张子潇"</f>
        <v>张子潇</v>
      </c>
      <c r="D1961" s="3" t="str">
        <f>"男"</f>
        <v>男</v>
      </c>
      <c r="E1961" s="3" t="str">
        <f>"2507016707"</f>
        <v>2507016707</v>
      </c>
      <c r="F1961" s="3" t="str">
        <f t="shared" si="183"/>
        <v>67</v>
      </c>
      <c r="G1961" s="4" t="str">
        <f>"07"</f>
        <v>07</v>
      </c>
      <c r="H1961" s="5">
        <v>68.8</v>
      </c>
      <c r="I1961" s="3"/>
    </row>
    <row r="1962" customHeight="1" spans="1:9">
      <c r="A1962" s="3" t="str">
        <f t="shared" ref="A1962:A2025" si="184">"0101"</f>
        <v>0101</v>
      </c>
      <c r="B1962" s="3" t="s">
        <v>21</v>
      </c>
      <c r="C1962" s="3" t="str">
        <f>"缪佳楠"</f>
        <v>缪佳楠</v>
      </c>
      <c r="D1962" s="3" t="str">
        <f>"女"</f>
        <v>女</v>
      </c>
      <c r="E1962" s="3" t="str">
        <f>"2507016708"</f>
        <v>2507016708</v>
      </c>
      <c r="F1962" s="3" t="str">
        <f t="shared" si="183"/>
        <v>67</v>
      </c>
      <c r="G1962" s="4" t="str">
        <f>"08"</f>
        <v>08</v>
      </c>
      <c r="H1962" s="5">
        <v>0</v>
      </c>
      <c r="I1962" s="3" t="s">
        <v>11</v>
      </c>
    </row>
    <row r="1963" customHeight="1" spans="1:9">
      <c r="A1963" s="3" t="str">
        <f t="shared" si="184"/>
        <v>0101</v>
      </c>
      <c r="B1963" s="3" t="s">
        <v>21</v>
      </c>
      <c r="C1963" s="3" t="str">
        <f>"王曼玉"</f>
        <v>王曼玉</v>
      </c>
      <c r="D1963" s="3" t="str">
        <f>"女"</f>
        <v>女</v>
      </c>
      <c r="E1963" s="3" t="str">
        <f>"2507016709"</f>
        <v>2507016709</v>
      </c>
      <c r="F1963" s="3" t="str">
        <f t="shared" si="183"/>
        <v>67</v>
      </c>
      <c r="G1963" s="4" t="str">
        <f>"09"</f>
        <v>09</v>
      </c>
      <c r="H1963" s="5">
        <v>0</v>
      </c>
      <c r="I1963" s="3" t="s">
        <v>11</v>
      </c>
    </row>
    <row r="1964" customHeight="1" spans="1:9">
      <c r="A1964" s="3" t="str">
        <f t="shared" si="184"/>
        <v>0101</v>
      </c>
      <c r="B1964" s="3" t="s">
        <v>21</v>
      </c>
      <c r="C1964" s="3" t="str">
        <f>"杨钰"</f>
        <v>杨钰</v>
      </c>
      <c r="D1964" s="3" t="str">
        <f>"女"</f>
        <v>女</v>
      </c>
      <c r="E1964" s="3" t="str">
        <f>"2507016710"</f>
        <v>2507016710</v>
      </c>
      <c r="F1964" s="3" t="str">
        <f t="shared" si="183"/>
        <v>67</v>
      </c>
      <c r="G1964" s="4" t="str">
        <f>"10"</f>
        <v>10</v>
      </c>
      <c r="H1964" s="5">
        <v>80.1</v>
      </c>
      <c r="I1964" s="3"/>
    </row>
    <row r="1965" customHeight="1" spans="1:9">
      <c r="A1965" s="3" t="str">
        <f t="shared" si="184"/>
        <v>0101</v>
      </c>
      <c r="B1965" s="3" t="s">
        <v>21</v>
      </c>
      <c r="C1965" s="3" t="str">
        <f>"申诗涵"</f>
        <v>申诗涵</v>
      </c>
      <c r="D1965" s="3" t="str">
        <f>"女"</f>
        <v>女</v>
      </c>
      <c r="E1965" s="3" t="str">
        <f>"2507016711"</f>
        <v>2507016711</v>
      </c>
      <c r="F1965" s="3" t="str">
        <f t="shared" si="183"/>
        <v>67</v>
      </c>
      <c r="G1965" s="4" t="str">
        <f>"11"</f>
        <v>11</v>
      </c>
      <c r="H1965" s="5">
        <v>76.7</v>
      </c>
      <c r="I1965" s="3"/>
    </row>
    <row r="1966" customHeight="1" spans="1:9">
      <c r="A1966" s="3" t="str">
        <f t="shared" si="184"/>
        <v>0101</v>
      </c>
      <c r="B1966" s="3" t="s">
        <v>21</v>
      </c>
      <c r="C1966" s="3" t="str">
        <f>"张笛"</f>
        <v>张笛</v>
      </c>
      <c r="D1966" s="3" t="str">
        <f>"女"</f>
        <v>女</v>
      </c>
      <c r="E1966" s="3" t="str">
        <f>"2507016712"</f>
        <v>2507016712</v>
      </c>
      <c r="F1966" s="3" t="str">
        <f t="shared" si="183"/>
        <v>67</v>
      </c>
      <c r="G1966" s="4" t="str">
        <f>"12"</f>
        <v>12</v>
      </c>
      <c r="H1966" s="5">
        <v>0</v>
      </c>
      <c r="I1966" s="3" t="s">
        <v>11</v>
      </c>
    </row>
    <row r="1967" customHeight="1" spans="1:9">
      <c r="A1967" s="3" t="str">
        <f t="shared" si="184"/>
        <v>0101</v>
      </c>
      <c r="B1967" s="3" t="s">
        <v>21</v>
      </c>
      <c r="C1967" s="3" t="str">
        <f>"邸际宇"</f>
        <v>邸际宇</v>
      </c>
      <c r="D1967" s="3" t="str">
        <f>"男"</f>
        <v>男</v>
      </c>
      <c r="E1967" s="3" t="str">
        <f>"2507016713"</f>
        <v>2507016713</v>
      </c>
      <c r="F1967" s="3" t="str">
        <f t="shared" si="183"/>
        <v>67</v>
      </c>
      <c r="G1967" s="4" t="str">
        <f>"13"</f>
        <v>13</v>
      </c>
      <c r="H1967" s="5">
        <v>0</v>
      </c>
      <c r="I1967" s="3" t="s">
        <v>11</v>
      </c>
    </row>
    <row r="1968" customHeight="1" spans="1:9">
      <c r="A1968" s="3" t="str">
        <f t="shared" si="184"/>
        <v>0101</v>
      </c>
      <c r="B1968" s="3" t="s">
        <v>21</v>
      </c>
      <c r="C1968" s="3" t="str">
        <f>"刘雪莲"</f>
        <v>刘雪莲</v>
      </c>
      <c r="D1968" s="3" t="str">
        <f>"女"</f>
        <v>女</v>
      </c>
      <c r="E1968" s="3" t="str">
        <f>"2507016714"</f>
        <v>2507016714</v>
      </c>
      <c r="F1968" s="3" t="str">
        <f t="shared" si="183"/>
        <v>67</v>
      </c>
      <c r="G1968" s="4" t="str">
        <f>"14"</f>
        <v>14</v>
      </c>
      <c r="H1968" s="5">
        <v>0</v>
      </c>
      <c r="I1968" s="3" t="s">
        <v>11</v>
      </c>
    </row>
    <row r="1969" customHeight="1" spans="1:9">
      <c r="A1969" s="3" t="str">
        <f t="shared" si="184"/>
        <v>0101</v>
      </c>
      <c r="B1969" s="3" t="s">
        <v>21</v>
      </c>
      <c r="C1969" s="3" t="str">
        <f>"周琪"</f>
        <v>周琪</v>
      </c>
      <c r="D1969" s="3" t="str">
        <f>"女"</f>
        <v>女</v>
      </c>
      <c r="E1969" s="3" t="str">
        <f>"2507016715"</f>
        <v>2507016715</v>
      </c>
      <c r="F1969" s="3" t="str">
        <f t="shared" si="183"/>
        <v>67</v>
      </c>
      <c r="G1969" s="4" t="str">
        <f>"15"</f>
        <v>15</v>
      </c>
      <c r="H1969" s="5">
        <v>0</v>
      </c>
      <c r="I1969" s="3" t="s">
        <v>11</v>
      </c>
    </row>
    <row r="1970" customHeight="1" spans="1:9">
      <c r="A1970" s="3" t="str">
        <f t="shared" si="184"/>
        <v>0101</v>
      </c>
      <c r="B1970" s="3" t="s">
        <v>21</v>
      </c>
      <c r="C1970" s="3" t="str">
        <f>"孟宪阵"</f>
        <v>孟宪阵</v>
      </c>
      <c r="D1970" s="3" t="str">
        <f>"女"</f>
        <v>女</v>
      </c>
      <c r="E1970" s="3" t="str">
        <f>"2507016716"</f>
        <v>2507016716</v>
      </c>
      <c r="F1970" s="3" t="str">
        <f t="shared" si="183"/>
        <v>67</v>
      </c>
      <c r="G1970" s="4" t="str">
        <f>"16"</f>
        <v>16</v>
      </c>
      <c r="H1970" s="5">
        <v>0</v>
      </c>
      <c r="I1970" s="3" t="s">
        <v>11</v>
      </c>
    </row>
    <row r="1971" customHeight="1" spans="1:9">
      <c r="A1971" s="3" t="str">
        <f t="shared" si="184"/>
        <v>0101</v>
      </c>
      <c r="B1971" s="3" t="s">
        <v>21</v>
      </c>
      <c r="C1971" s="3" t="str">
        <f>"孙韶炜"</f>
        <v>孙韶炜</v>
      </c>
      <c r="D1971" s="3" t="str">
        <f>"男"</f>
        <v>男</v>
      </c>
      <c r="E1971" s="3" t="str">
        <f>"2507016717"</f>
        <v>2507016717</v>
      </c>
      <c r="F1971" s="3" t="str">
        <f t="shared" si="183"/>
        <v>67</v>
      </c>
      <c r="G1971" s="4" t="str">
        <f>"17"</f>
        <v>17</v>
      </c>
      <c r="H1971" s="5">
        <v>66</v>
      </c>
      <c r="I1971" s="3"/>
    </row>
    <row r="1972" customHeight="1" spans="1:9">
      <c r="A1972" s="3" t="str">
        <f t="shared" si="184"/>
        <v>0101</v>
      </c>
      <c r="B1972" s="3" t="s">
        <v>21</v>
      </c>
      <c r="C1972" s="3" t="str">
        <f>"李效"</f>
        <v>李效</v>
      </c>
      <c r="D1972" s="3" t="str">
        <f>"男"</f>
        <v>男</v>
      </c>
      <c r="E1972" s="3" t="str">
        <f>"2507016718"</f>
        <v>2507016718</v>
      </c>
      <c r="F1972" s="3" t="str">
        <f t="shared" si="183"/>
        <v>67</v>
      </c>
      <c r="G1972" s="4" t="str">
        <f>"18"</f>
        <v>18</v>
      </c>
      <c r="H1972" s="5">
        <v>72.3</v>
      </c>
      <c r="I1972" s="3"/>
    </row>
    <row r="1973" customHeight="1" spans="1:9">
      <c r="A1973" s="3" t="str">
        <f t="shared" si="184"/>
        <v>0101</v>
      </c>
      <c r="B1973" s="3" t="s">
        <v>21</v>
      </c>
      <c r="C1973" s="3" t="str">
        <f>"王英各"</f>
        <v>王英各</v>
      </c>
      <c r="D1973" s="3" t="str">
        <f t="shared" ref="D1973:D1983" si="185">"女"</f>
        <v>女</v>
      </c>
      <c r="E1973" s="3" t="str">
        <f>"2507016719"</f>
        <v>2507016719</v>
      </c>
      <c r="F1973" s="3" t="str">
        <f t="shared" si="183"/>
        <v>67</v>
      </c>
      <c r="G1973" s="4" t="str">
        <f>"19"</f>
        <v>19</v>
      </c>
      <c r="H1973" s="5">
        <v>75.4</v>
      </c>
      <c r="I1973" s="3"/>
    </row>
    <row r="1974" customHeight="1" spans="1:9">
      <c r="A1974" s="3" t="str">
        <f t="shared" si="184"/>
        <v>0101</v>
      </c>
      <c r="B1974" s="3" t="s">
        <v>21</v>
      </c>
      <c r="C1974" s="3" t="str">
        <f>"许珂"</f>
        <v>许珂</v>
      </c>
      <c r="D1974" s="3" t="str">
        <f t="shared" si="185"/>
        <v>女</v>
      </c>
      <c r="E1974" s="3" t="str">
        <f>"2507016720"</f>
        <v>2507016720</v>
      </c>
      <c r="F1974" s="3" t="str">
        <f t="shared" si="183"/>
        <v>67</v>
      </c>
      <c r="G1974" s="4" t="str">
        <f>"20"</f>
        <v>20</v>
      </c>
      <c r="H1974" s="5">
        <v>73.3</v>
      </c>
      <c r="I1974" s="3"/>
    </row>
    <row r="1975" customHeight="1" spans="1:9">
      <c r="A1975" s="3" t="str">
        <f t="shared" si="184"/>
        <v>0101</v>
      </c>
      <c r="B1975" s="3" t="s">
        <v>21</v>
      </c>
      <c r="C1975" s="3" t="str">
        <f>"许梦"</f>
        <v>许梦</v>
      </c>
      <c r="D1975" s="3" t="str">
        <f t="shared" si="185"/>
        <v>女</v>
      </c>
      <c r="E1975" s="3" t="str">
        <f>"2507016721"</f>
        <v>2507016721</v>
      </c>
      <c r="F1975" s="3" t="str">
        <f t="shared" si="183"/>
        <v>67</v>
      </c>
      <c r="G1975" s="4" t="str">
        <f>"21"</f>
        <v>21</v>
      </c>
      <c r="H1975" s="5">
        <v>75.9</v>
      </c>
      <c r="I1975" s="3"/>
    </row>
    <row r="1976" customHeight="1" spans="1:9">
      <c r="A1976" s="3" t="str">
        <f t="shared" si="184"/>
        <v>0101</v>
      </c>
      <c r="B1976" s="3" t="s">
        <v>21</v>
      </c>
      <c r="C1976" s="3" t="str">
        <f>"韩佩冉"</f>
        <v>韩佩冉</v>
      </c>
      <c r="D1976" s="3" t="str">
        <f t="shared" si="185"/>
        <v>女</v>
      </c>
      <c r="E1976" s="3" t="str">
        <f>"2507016722"</f>
        <v>2507016722</v>
      </c>
      <c r="F1976" s="3" t="str">
        <f t="shared" si="183"/>
        <v>67</v>
      </c>
      <c r="G1976" s="4" t="str">
        <f>"22"</f>
        <v>22</v>
      </c>
      <c r="H1976" s="5">
        <v>72.2</v>
      </c>
      <c r="I1976" s="3"/>
    </row>
    <row r="1977" customHeight="1" spans="1:9">
      <c r="A1977" s="3" t="str">
        <f t="shared" si="184"/>
        <v>0101</v>
      </c>
      <c r="B1977" s="3" t="s">
        <v>21</v>
      </c>
      <c r="C1977" s="3" t="str">
        <f>"邓胜男"</f>
        <v>邓胜男</v>
      </c>
      <c r="D1977" s="3" t="str">
        <f t="shared" si="185"/>
        <v>女</v>
      </c>
      <c r="E1977" s="3" t="str">
        <f>"2507016723"</f>
        <v>2507016723</v>
      </c>
      <c r="F1977" s="3" t="str">
        <f t="shared" si="183"/>
        <v>67</v>
      </c>
      <c r="G1977" s="4" t="str">
        <f>"23"</f>
        <v>23</v>
      </c>
      <c r="H1977" s="5">
        <v>79</v>
      </c>
      <c r="I1977" s="3"/>
    </row>
    <row r="1978" customHeight="1" spans="1:9">
      <c r="A1978" s="3" t="str">
        <f t="shared" si="184"/>
        <v>0101</v>
      </c>
      <c r="B1978" s="3" t="s">
        <v>21</v>
      </c>
      <c r="C1978" s="3" t="str">
        <f>"蒋意如"</f>
        <v>蒋意如</v>
      </c>
      <c r="D1978" s="3" t="str">
        <f t="shared" si="185"/>
        <v>女</v>
      </c>
      <c r="E1978" s="3" t="str">
        <f>"2507016724"</f>
        <v>2507016724</v>
      </c>
      <c r="F1978" s="3" t="str">
        <f t="shared" si="183"/>
        <v>67</v>
      </c>
      <c r="G1978" s="4" t="str">
        <f>"24"</f>
        <v>24</v>
      </c>
      <c r="H1978" s="5">
        <v>82</v>
      </c>
      <c r="I1978" s="3"/>
    </row>
    <row r="1979" customHeight="1" spans="1:9">
      <c r="A1979" s="3" t="str">
        <f t="shared" si="184"/>
        <v>0101</v>
      </c>
      <c r="B1979" s="3" t="s">
        <v>21</v>
      </c>
      <c r="C1979" s="3" t="str">
        <f>"曾铄芷"</f>
        <v>曾铄芷</v>
      </c>
      <c r="D1979" s="3" t="str">
        <f t="shared" si="185"/>
        <v>女</v>
      </c>
      <c r="E1979" s="3" t="str">
        <f>"2507016725"</f>
        <v>2507016725</v>
      </c>
      <c r="F1979" s="3" t="str">
        <f t="shared" si="183"/>
        <v>67</v>
      </c>
      <c r="G1979" s="4" t="str">
        <f>"25"</f>
        <v>25</v>
      </c>
      <c r="H1979" s="5">
        <v>86</v>
      </c>
      <c r="I1979" s="3"/>
    </row>
    <row r="1980" customHeight="1" spans="1:9">
      <c r="A1980" s="3" t="str">
        <f t="shared" si="184"/>
        <v>0101</v>
      </c>
      <c r="B1980" s="3" t="s">
        <v>21</v>
      </c>
      <c r="C1980" s="3" t="str">
        <f>"闫晗"</f>
        <v>闫晗</v>
      </c>
      <c r="D1980" s="3" t="str">
        <f t="shared" si="185"/>
        <v>女</v>
      </c>
      <c r="E1980" s="3" t="str">
        <f>"2507016726"</f>
        <v>2507016726</v>
      </c>
      <c r="F1980" s="3" t="str">
        <f t="shared" si="183"/>
        <v>67</v>
      </c>
      <c r="G1980" s="4" t="str">
        <f>"26"</f>
        <v>26</v>
      </c>
      <c r="H1980" s="5">
        <v>78.9</v>
      </c>
      <c r="I1980" s="3"/>
    </row>
    <row r="1981" customHeight="1" spans="1:9">
      <c r="A1981" s="3" t="str">
        <f t="shared" si="184"/>
        <v>0101</v>
      </c>
      <c r="B1981" s="3" t="s">
        <v>21</v>
      </c>
      <c r="C1981" s="3" t="str">
        <f>"冯琪"</f>
        <v>冯琪</v>
      </c>
      <c r="D1981" s="3" t="str">
        <f t="shared" si="185"/>
        <v>女</v>
      </c>
      <c r="E1981" s="3" t="str">
        <f>"2507016727"</f>
        <v>2507016727</v>
      </c>
      <c r="F1981" s="3" t="str">
        <f t="shared" si="183"/>
        <v>67</v>
      </c>
      <c r="G1981" s="4" t="str">
        <f>"27"</f>
        <v>27</v>
      </c>
      <c r="H1981" s="5">
        <v>71.1</v>
      </c>
      <c r="I1981" s="3"/>
    </row>
    <row r="1982" customHeight="1" spans="1:9">
      <c r="A1982" s="3" t="str">
        <f t="shared" si="184"/>
        <v>0101</v>
      </c>
      <c r="B1982" s="3" t="s">
        <v>21</v>
      </c>
      <c r="C1982" s="3" t="str">
        <f>"邹思甜"</f>
        <v>邹思甜</v>
      </c>
      <c r="D1982" s="3" t="str">
        <f t="shared" si="185"/>
        <v>女</v>
      </c>
      <c r="E1982" s="3" t="str">
        <f>"2507016728"</f>
        <v>2507016728</v>
      </c>
      <c r="F1982" s="3" t="str">
        <f t="shared" si="183"/>
        <v>67</v>
      </c>
      <c r="G1982" s="4" t="str">
        <f>"28"</f>
        <v>28</v>
      </c>
      <c r="H1982" s="5">
        <v>75.9</v>
      </c>
      <c r="I1982" s="3"/>
    </row>
    <row r="1983" customHeight="1" spans="1:9">
      <c r="A1983" s="3" t="str">
        <f t="shared" si="184"/>
        <v>0101</v>
      </c>
      <c r="B1983" s="3" t="s">
        <v>21</v>
      </c>
      <c r="C1983" s="3" t="str">
        <f>"陈妍洁"</f>
        <v>陈妍洁</v>
      </c>
      <c r="D1983" s="3" t="str">
        <f t="shared" si="185"/>
        <v>女</v>
      </c>
      <c r="E1983" s="3" t="str">
        <f>"2507016729"</f>
        <v>2507016729</v>
      </c>
      <c r="F1983" s="3" t="str">
        <f t="shared" si="183"/>
        <v>67</v>
      </c>
      <c r="G1983" s="4" t="str">
        <f>"29"</f>
        <v>29</v>
      </c>
      <c r="H1983" s="5">
        <v>78.4</v>
      </c>
      <c r="I1983" s="3"/>
    </row>
    <row r="1984" customHeight="1" spans="1:9">
      <c r="A1984" s="3" t="str">
        <f t="shared" si="184"/>
        <v>0101</v>
      </c>
      <c r="B1984" s="3" t="s">
        <v>21</v>
      </c>
      <c r="C1984" s="3" t="str">
        <f>"张孜骁"</f>
        <v>张孜骁</v>
      </c>
      <c r="D1984" s="3" t="str">
        <f>"男"</f>
        <v>男</v>
      </c>
      <c r="E1984" s="3" t="str">
        <f>"2507016730"</f>
        <v>2507016730</v>
      </c>
      <c r="F1984" s="3" t="str">
        <f t="shared" si="183"/>
        <v>67</v>
      </c>
      <c r="G1984" s="4" t="str">
        <f>"30"</f>
        <v>30</v>
      </c>
      <c r="H1984" s="5">
        <v>74.8</v>
      </c>
      <c r="I1984" s="3"/>
    </row>
    <row r="1985" customHeight="1" spans="1:9">
      <c r="A1985" s="3" t="str">
        <f t="shared" si="184"/>
        <v>0101</v>
      </c>
      <c r="B1985" s="3" t="s">
        <v>21</v>
      </c>
      <c r="C1985" s="3" t="str">
        <f>"李羽吉"</f>
        <v>李羽吉</v>
      </c>
      <c r="D1985" s="3" t="str">
        <f>"男"</f>
        <v>男</v>
      </c>
      <c r="E1985" s="3" t="str">
        <f>"2507016731"</f>
        <v>2507016731</v>
      </c>
      <c r="F1985" s="3" t="str">
        <f t="shared" si="183"/>
        <v>67</v>
      </c>
      <c r="G1985" s="4" t="str">
        <f>"31"</f>
        <v>31</v>
      </c>
      <c r="H1985" s="5">
        <v>0</v>
      </c>
      <c r="I1985" s="3" t="s">
        <v>11</v>
      </c>
    </row>
    <row r="1986" customHeight="1" spans="1:9">
      <c r="A1986" s="3" t="str">
        <f t="shared" si="184"/>
        <v>0101</v>
      </c>
      <c r="B1986" s="3" t="s">
        <v>21</v>
      </c>
      <c r="C1986" s="3" t="str">
        <f>"姜可柔"</f>
        <v>姜可柔</v>
      </c>
      <c r="D1986" s="3" t="str">
        <f t="shared" ref="D1986:D1993" si="186">"女"</f>
        <v>女</v>
      </c>
      <c r="E1986" s="3" t="str">
        <f>"2507016801"</f>
        <v>2507016801</v>
      </c>
      <c r="F1986" s="3" t="str">
        <f t="shared" ref="F1986:F2016" si="187">"68"</f>
        <v>68</v>
      </c>
      <c r="G1986" s="4" t="str">
        <f>"01"</f>
        <v>01</v>
      </c>
      <c r="H1986" s="5">
        <v>59.6</v>
      </c>
      <c r="I1986" s="3"/>
    </row>
    <row r="1987" customHeight="1" spans="1:9">
      <c r="A1987" s="3" t="str">
        <f t="shared" si="184"/>
        <v>0101</v>
      </c>
      <c r="B1987" s="3" t="s">
        <v>21</v>
      </c>
      <c r="C1987" s="3" t="str">
        <f>"朱书平"</f>
        <v>朱书平</v>
      </c>
      <c r="D1987" s="3" t="str">
        <f t="shared" si="186"/>
        <v>女</v>
      </c>
      <c r="E1987" s="3" t="str">
        <f>"2507016802"</f>
        <v>2507016802</v>
      </c>
      <c r="F1987" s="3" t="str">
        <f t="shared" si="187"/>
        <v>68</v>
      </c>
      <c r="G1987" s="4" t="str">
        <f>"02"</f>
        <v>02</v>
      </c>
      <c r="H1987" s="5">
        <v>0</v>
      </c>
      <c r="I1987" s="3" t="s">
        <v>11</v>
      </c>
    </row>
    <row r="1988" customHeight="1" spans="1:9">
      <c r="A1988" s="3" t="str">
        <f t="shared" si="184"/>
        <v>0101</v>
      </c>
      <c r="B1988" s="3" t="s">
        <v>21</v>
      </c>
      <c r="C1988" s="3" t="str">
        <f>"刘莉莉"</f>
        <v>刘莉莉</v>
      </c>
      <c r="D1988" s="3" t="str">
        <f t="shared" si="186"/>
        <v>女</v>
      </c>
      <c r="E1988" s="3" t="str">
        <f>"2507016803"</f>
        <v>2507016803</v>
      </c>
      <c r="F1988" s="3" t="str">
        <f t="shared" si="187"/>
        <v>68</v>
      </c>
      <c r="G1988" s="4" t="str">
        <f>"03"</f>
        <v>03</v>
      </c>
      <c r="H1988" s="5">
        <v>65.7</v>
      </c>
      <c r="I1988" s="3"/>
    </row>
    <row r="1989" customHeight="1" spans="1:9">
      <c r="A1989" s="3" t="str">
        <f t="shared" si="184"/>
        <v>0101</v>
      </c>
      <c r="B1989" s="3" t="s">
        <v>21</v>
      </c>
      <c r="C1989" s="3" t="str">
        <f>"侯舒蕾"</f>
        <v>侯舒蕾</v>
      </c>
      <c r="D1989" s="3" t="str">
        <f t="shared" si="186"/>
        <v>女</v>
      </c>
      <c r="E1989" s="3" t="str">
        <f>"2507016804"</f>
        <v>2507016804</v>
      </c>
      <c r="F1989" s="3" t="str">
        <f t="shared" si="187"/>
        <v>68</v>
      </c>
      <c r="G1989" s="4" t="str">
        <f>"04"</f>
        <v>04</v>
      </c>
      <c r="H1989" s="5">
        <v>75.9</v>
      </c>
      <c r="I1989" s="3"/>
    </row>
    <row r="1990" customHeight="1" spans="1:9">
      <c r="A1990" s="3" t="str">
        <f t="shared" si="184"/>
        <v>0101</v>
      </c>
      <c r="B1990" s="3" t="s">
        <v>21</v>
      </c>
      <c r="C1990" s="3" t="str">
        <f>"沈昱含"</f>
        <v>沈昱含</v>
      </c>
      <c r="D1990" s="3" t="str">
        <f t="shared" si="186"/>
        <v>女</v>
      </c>
      <c r="E1990" s="3" t="str">
        <f>"2507016805"</f>
        <v>2507016805</v>
      </c>
      <c r="F1990" s="3" t="str">
        <f t="shared" si="187"/>
        <v>68</v>
      </c>
      <c r="G1990" s="4" t="str">
        <f>"05"</f>
        <v>05</v>
      </c>
      <c r="H1990" s="5">
        <v>0</v>
      </c>
      <c r="I1990" s="3" t="s">
        <v>11</v>
      </c>
    </row>
    <row r="1991" customHeight="1" spans="1:9">
      <c r="A1991" s="3" t="str">
        <f t="shared" si="184"/>
        <v>0101</v>
      </c>
      <c r="B1991" s="3" t="s">
        <v>21</v>
      </c>
      <c r="C1991" s="3" t="str">
        <f>"黄依帆"</f>
        <v>黄依帆</v>
      </c>
      <c r="D1991" s="3" t="str">
        <f t="shared" si="186"/>
        <v>女</v>
      </c>
      <c r="E1991" s="3" t="str">
        <f>"2507016806"</f>
        <v>2507016806</v>
      </c>
      <c r="F1991" s="3" t="str">
        <f t="shared" si="187"/>
        <v>68</v>
      </c>
      <c r="G1991" s="4" t="str">
        <f>"06"</f>
        <v>06</v>
      </c>
      <c r="H1991" s="5">
        <v>71.7</v>
      </c>
      <c r="I1991" s="3"/>
    </row>
    <row r="1992" customHeight="1" spans="1:9">
      <c r="A1992" s="3" t="str">
        <f t="shared" si="184"/>
        <v>0101</v>
      </c>
      <c r="B1992" s="3" t="s">
        <v>21</v>
      </c>
      <c r="C1992" s="3" t="str">
        <f>"章颖"</f>
        <v>章颖</v>
      </c>
      <c r="D1992" s="3" t="str">
        <f t="shared" si="186"/>
        <v>女</v>
      </c>
      <c r="E1992" s="3" t="str">
        <f>"2507016807"</f>
        <v>2507016807</v>
      </c>
      <c r="F1992" s="3" t="str">
        <f t="shared" si="187"/>
        <v>68</v>
      </c>
      <c r="G1992" s="4" t="str">
        <f>"07"</f>
        <v>07</v>
      </c>
      <c r="H1992" s="5">
        <v>0</v>
      </c>
      <c r="I1992" s="3" t="s">
        <v>11</v>
      </c>
    </row>
    <row r="1993" customHeight="1" spans="1:9">
      <c r="A1993" s="3" t="str">
        <f t="shared" si="184"/>
        <v>0101</v>
      </c>
      <c r="B1993" s="3" t="s">
        <v>21</v>
      </c>
      <c r="C1993" s="3" t="str">
        <f>"王艺"</f>
        <v>王艺</v>
      </c>
      <c r="D1993" s="3" t="str">
        <f t="shared" si="186"/>
        <v>女</v>
      </c>
      <c r="E1993" s="3" t="str">
        <f>"2507016808"</f>
        <v>2507016808</v>
      </c>
      <c r="F1993" s="3" t="str">
        <f t="shared" si="187"/>
        <v>68</v>
      </c>
      <c r="G1993" s="4" t="str">
        <f>"08"</f>
        <v>08</v>
      </c>
      <c r="H1993" s="5">
        <v>71</v>
      </c>
      <c r="I1993" s="3"/>
    </row>
    <row r="1994" customHeight="1" spans="1:9">
      <c r="A1994" s="3" t="str">
        <f t="shared" si="184"/>
        <v>0101</v>
      </c>
      <c r="B1994" s="3" t="s">
        <v>21</v>
      </c>
      <c r="C1994" s="3" t="str">
        <f>"李天桥"</f>
        <v>李天桥</v>
      </c>
      <c r="D1994" s="3" t="str">
        <f>"男"</f>
        <v>男</v>
      </c>
      <c r="E1994" s="3" t="str">
        <f>"2507016809"</f>
        <v>2507016809</v>
      </c>
      <c r="F1994" s="3" t="str">
        <f t="shared" si="187"/>
        <v>68</v>
      </c>
      <c r="G1994" s="4" t="str">
        <f>"09"</f>
        <v>09</v>
      </c>
      <c r="H1994" s="5">
        <v>73.7</v>
      </c>
      <c r="I1994" s="3"/>
    </row>
    <row r="1995" customHeight="1" spans="1:9">
      <c r="A1995" s="3" t="str">
        <f t="shared" si="184"/>
        <v>0101</v>
      </c>
      <c r="B1995" s="3" t="s">
        <v>21</v>
      </c>
      <c r="C1995" s="3" t="str">
        <f>"姚含笑"</f>
        <v>姚含笑</v>
      </c>
      <c r="D1995" s="3" t="str">
        <f t="shared" ref="D1995:D2002" si="188">"女"</f>
        <v>女</v>
      </c>
      <c r="E1995" s="3" t="str">
        <f>"2507016810"</f>
        <v>2507016810</v>
      </c>
      <c r="F1995" s="3" t="str">
        <f t="shared" si="187"/>
        <v>68</v>
      </c>
      <c r="G1995" s="4" t="str">
        <f>"10"</f>
        <v>10</v>
      </c>
      <c r="H1995" s="5">
        <v>0</v>
      </c>
      <c r="I1995" s="3" t="s">
        <v>11</v>
      </c>
    </row>
    <row r="1996" customHeight="1" spans="1:9">
      <c r="A1996" s="3" t="str">
        <f t="shared" si="184"/>
        <v>0101</v>
      </c>
      <c r="B1996" s="3" t="s">
        <v>21</v>
      </c>
      <c r="C1996" s="3" t="str">
        <f>"段昱宇"</f>
        <v>段昱宇</v>
      </c>
      <c r="D1996" s="3" t="str">
        <f t="shared" si="188"/>
        <v>女</v>
      </c>
      <c r="E1996" s="3" t="str">
        <f>"2507016811"</f>
        <v>2507016811</v>
      </c>
      <c r="F1996" s="3" t="str">
        <f t="shared" si="187"/>
        <v>68</v>
      </c>
      <c r="G1996" s="4" t="str">
        <f>"11"</f>
        <v>11</v>
      </c>
      <c r="H1996" s="5">
        <v>72.2</v>
      </c>
      <c r="I1996" s="3"/>
    </row>
    <row r="1997" customHeight="1" spans="1:9">
      <c r="A1997" s="3" t="str">
        <f t="shared" si="184"/>
        <v>0101</v>
      </c>
      <c r="B1997" s="3" t="s">
        <v>21</v>
      </c>
      <c r="C1997" s="3" t="str">
        <f>"郝亚茹"</f>
        <v>郝亚茹</v>
      </c>
      <c r="D1997" s="3" t="str">
        <f t="shared" si="188"/>
        <v>女</v>
      </c>
      <c r="E1997" s="3" t="str">
        <f>"2507016812"</f>
        <v>2507016812</v>
      </c>
      <c r="F1997" s="3" t="str">
        <f t="shared" si="187"/>
        <v>68</v>
      </c>
      <c r="G1997" s="4" t="str">
        <f>"12"</f>
        <v>12</v>
      </c>
      <c r="H1997" s="5">
        <v>0</v>
      </c>
      <c r="I1997" s="3" t="s">
        <v>11</v>
      </c>
    </row>
    <row r="1998" customHeight="1" spans="1:9">
      <c r="A1998" s="3" t="str">
        <f t="shared" si="184"/>
        <v>0101</v>
      </c>
      <c r="B1998" s="3" t="s">
        <v>21</v>
      </c>
      <c r="C1998" s="3" t="str">
        <f>"孔祥雨"</f>
        <v>孔祥雨</v>
      </c>
      <c r="D1998" s="3" t="str">
        <f t="shared" si="188"/>
        <v>女</v>
      </c>
      <c r="E1998" s="3" t="str">
        <f>"2507016813"</f>
        <v>2507016813</v>
      </c>
      <c r="F1998" s="3" t="str">
        <f t="shared" si="187"/>
        <v>68</v>
      </c>
      <c r="G1998" s="4" t="str">
        <f>"13"</f>
        <v>13</v>
      </c>
      <c r="H1998" s="5">
        <v>72</v>
      </c>
      <c r="I1998" s="3"/>
    </row>
    <row r="1999" customHeight="1" spans="1:9">
      <c r="A1999" s="3" t="str">
        <f t="shared" si="184"/>
        <v>0101</v>
      </c>
      <c r="B1999" s="3" t="s">
        <v>21</v>
      </c>
      <c r="C1999" s="3" t="str">
        <f>"吴琼"</f>
        <v>吴琼</v>
      </c>
      <c r="D1999" s="3" t="str">
        <f t="shared" si="188"/>
        <v>女</v>
      </c>
      <c r="E1999" s="3" t="str">
        <f>"2507016814"</f>
        <v>2507016814</v>
      </c>
      <c r="F1999" s="3" t="str">
        <f t="shared" si="187"/>
        <v>68</v>
      </c>
      <c r="G1999" s="4" t="str">
        <f>"14"</f>
        <v>14</v>
      </c>
      <c r="H1999" s="5">
        <v>0</v>
      </c>
      <c r="I1999" s="3" t="s">
        <v>11</v>
      </c>
    </row>
    <row r="2000" customHeight="1" spans="1:9">
      <c r="A2000" s="3" t="str">
        <f t="shared" si="184"/>
        <v>0101</v>
      </c>
      <c r="B2000" s="3" t="s">
        <v>21</v>
      </c>
      <c r="C2000" s="3" t="str">
        <f>"李科璇"</f>
        <v>李科璇</v>
      </c>
      <c r="D2000" s="3" t="str">
        <f t="shared" si="188"/>
        <v>女</v>
      </c>
      <c r="E2000" s="3" t="str">
        <f>"2507016815"</f>
        <v>2507016815</v>
      </c>
      <c r="F2000" s="3" t="str">
        <f t="shared" si="187"/>
        <v>68</v>
      </c>
      <c r="G2000" s="4" t="str">
        <f>"15"</f>
        <v>15</v>
      </c>
      <c r="H2000" s="5">
        <v>79.6</v>
      </c>
      <c r="I2000" s="3"/>
    </row>
    <row r="2001" customHeight="1" spans="1:9">
      <c r="A2001" s="3" t="str">
        <f t="shared" si="184"/>
        <v>0101</v>
      </c>
      <c r="B2001" s="3" t="s">
        <v>21</v>
      </c>
      <c r="C2001" s="3" t="str">
        <f>"王舒欣"</f>
        <v>王舒欣</v>
      </c>
      <c r="D2001" s="3" t="str">
        <f t="shared" si="188"/>
        <v>女</v>
      </c>
      <c r="E2001" s="3" t="str">
        <f>"2507016816"</f>
        <v>2507016816</v>
      </c>
      <c r="F2001" s="3" t="str">
        <f t="shared" si="187"/>
        <v>68</v>
      </c>
      <c r="G2001" s="4" t="str">
        <f>"16"</f>
        <v>16</v>
      </c>
      <c r="H2001" s="5">
        <v>67.7</v>
      </c>
      <c r="I2001" s="3"/>
    </row>
    <row r="2002" customHeight="1" spans="1:9">
      <c r="A2002" s="3" t="str">
        <f t="shared" si="184"/>
        <v>0101</v>
      </c>
      <c r="B2002" s="3" t="s">
        <v>21</v>
      </c>
      <c r="C2002" s="3" t="str">
        <f>"马洪艳"</f>
        <v>马洪艳</v>
      </c>
      <c r="D2002" s="3" t="str">
        <f t="shared" si="188"/>
        <v>女</v>
      </c>
      <c r="E2002" s="3" t="str">
        <f>"2507016817"</f>
        <v>2507016817</v>
      </c>
      <c r="F2002" s="3" t="str">
        <f t="shared" si="187"/>
        <v>68</v>
      </c>
      <c r="G2002" s="4" t="str">
        <f>"17"</f>
        <v>17</v>
      </c>
      <c r="H2002" s="5">
        <v>65.8</v>
      </c>
      <c r="I2002" s="3"/>
    </row>
    <row r="2003" customHeight="1" spans="1:9">
      <c r="A2003" s="3" t="str">
        <f t="shared" si="184"/>
        <v>0101</v>
      </c>
      <c r="B2003" s="3" t="s">
        <v>21</v>
      </c>
      <c r="C2003" s="3" t="str">
        <f>"凌尧"</f>
        <v>凌尧</v>
      </c>
      <c r="D2003" s="3" t="str">
        <f>"男"</f>
        <v>男</v>
      </c>
      <c r="E2003" s="3" t="str">
        <f>"2507016818"</f>
        <v>2507016818</v>
      </c>
      <c r="F2003" s="3" t="str">
        <f t="shared" si="187"/>
        <v>68</v>
      </c>
      <c r="G2003" s="4" t="str">
        <f>"18"</f>
        <v>18</v>
      </c>
      <c r="H2003" s="5">
        <v>0</v>
      </c>
      <c r="I2003" s="3" t="s">
        <v>11</v>
      </c>
    </row>
    <row r="2004" customHeight="1" spans="1:9">
      <c r="A2004" s="3" t="str">
        <f t="shared" si="184"/>
        <v>0101</v>
      </c>
      <c r="B2004" s="3" t="s">
        <v>21</v>
      </c>
      <c r="C2004" s="3" t="str">
        <f>"谢梦妹"</f>
        <v>谢梦妹</v>
      </c>
      <c r="D2004" s="3" t="str">
        <f t="shared" ref="D2004:D2009" si="189">"女"</f>
        <v>女</v>
      </c>
      <c r="E2004" s="3" t="str">
        <f>"2507016819"</f>
        <v>2507016819</v>
      </c>
      <c r="F2004" s="3" t="str">
        <f t="shared" si="187"/>
        <v>68</v>
      </c>
      <c r="G2004" s="4" t="str">
        <f>"19"</f>
        <v>19</v>
      </c>
      <c r="H2004" s="5">
        <v>75.6</v>
      </c>
      <c r="I2004" s="3"/>
    </row>
    <row r="2005" customHeight="1" spans="1:9">
      <c r="A2005" s="3" t="str">
        <f t="shared" si="184"/>
        <v>0101</v>
      </c>
      <c r="B2005" s="3" t="s">
        <v>21</v>
      </c>
      <c r="C2005" s="3" t="str">
        <f>"侯庆姣"</f>
        <v>侯庆姣</v>
      </c>
      <c r="D2005" s="3" t="str">
        <f t="shared" si="189"/>
        <v>女</v>
      </c>
      <c r="E2005" s="3" t="str">
        <f>"2507016820"</f>
        <v>2507016820</v>
      </c>
      <c r="F2005" s="3" t="str">
        <f t="shared" si="187"/>
        <v>68</v>
      </c>
      <c r="G2005" s="4" t="str">
        <f>"20"</f>
        <v>20</v>
      </c>
      <c r="H2005" s="5">
        <v>79.6</v>
      </c>
      <c r="I2005" s="3"/>
    </row>
    <row r="2006" customHeight="1" spans="1:9">
      <c r="A2006" s="3" t="str">
        <f t="shared" si="184"/>
        <v>0101</v>
      </c>
      <c r="B2006" s="3" t="s">
        <v>21</v>
      </c>
      <c r="C2006" s="3" t="str">
        <f>"胡敏"</f>
        <v>胡敏</v>
      </c>
      <c r="D2006" s="3" t="str">
        <f t="shared" si="189"/>
        <v>女</v>
      </c>
      <c r="E2006" s="3" t="str">
        <f>"2507016821"</f>
        <v>2507016821</v>
      </c>
      <c r="F2006" s="3" t="str">
        <f t="shared" si="187"/>
        <v>68</v>
      </c>
      <c r="G2006" s="4" t="str">
        <f>"21"</f>
        <v>21</v>
      </c>
      <c r="H2006" s="5">
        <v>76.7</v>
      </c>
      <c r="I2006" s="3"/>
    </row>
    <row r="2007" customHeight="1" spans="1:9">
      <c r="A2007" s="3" t="str">
        <f t="shared" si="184"/>
        <v>0101</v>
      </c>
      <c r="B2007" s="3" t="s">
        <v>21</v>
      </c>
      <c r="C2007" s="3" t="str">
        <f>"王夏"</f>
        <v>王夏</v>
      </c>
      <c r="D2007" s="3" t="str">
        <f t="shared" si="189"/>
        <v>女</v>
      </c>
      <c r="E2007" s="3" t="str">
        <f>"2507016822"</f>
        <v>2507016822</v>
      </c>
      <c r="F2007" s="3" t="str">
        <f t="shared" si="187"/>
        <v>68</v>
      </c>
      <c r="G2007" s="4" t="str">
        <f>"22"</f>
        <v>22</v>
      </c>
      <c r="H2007" s="5">
        <v>68.1</v>
      </c>
      <c r="I2007" s="3"/>
    </row>
    <row r="2008" customHeight="1" spans="1:9">
      <c r="A2008" s="3" t="str">
        <f t="shared" si="184"/>
        <v>0101</v>
      </c>
      <c r="B2008" s="3" t="s">
        <v>21</v>
      </c>
      <c r="C2008" s="3" t="str">
        <f>"王永倩"</f>
        <v>王永倩</v>
      </c>
      <c r="D2008" s="3" t="str">
        <f t="shared" si="189"/>
        <v>女</v>
      </c>
      <c r="E2008" s="3" t="str">
        <f>"2507016823"</f>
        <v>2507016823</v>
      </c>
      <c r="F2008" s="3" t="str">
        <f t="shared" si="187"/>
        <v>68</v>
      </c>
      <c r="G2008" s="4" t="str">
        <f>"23"</f>
        <v>23</v>
      </c>
      <c r="H2008" s="5">
        <v>73.2</v>
      </c>
      <c r="I2008" s="3"/>
    </row>
    <row r="2009" customHeight="1" spans="1:9">
      <c r="A2009" s="3" t="str">
        <f t="shared" si="184"/>
        <v>0101</v>
      </c>
      <c r="B2009" s="3" t="s">
        <v>21</v>
      </c>
      <c r="C2009" s="3" t="str">
        <f>"张晓慧"</f>
        <v>张晓慧</v>
      </c>
      <c r="D2009" s="3" t="str">
        <f t="shared" si="189"/>
        <v>女</v>
      </c>
      <c r="E2009" s="3" t="str">
        <f>"2507016824"</f>
        <v>2507016824</v>
      </c>
      <c r="F2009" s="3" t="str">
        <f t="shared" si="187"/>
        <v>68</v>
      </c>
      <c r="G2009" s="4" t="str">
        <f>"24"</f>
        <v>24</v>
      </c>
      <c r="H2009" s="5">
        <v>74.5</v>
      </c>
      <c r="I2009" s="3"/>
    </row>
    <row r="2010" customHeight="1" spans="1:9">
      <c r="A2010" s="3" t="str">
        <f t="shared" si="184"/>
        <v>0101</v>
      </c>
      <c r="B2010" s="3" t="s">
        <v>21</v>
      </c>
      <c r="C2010" s="3" t="str">
        <f>"李光博"</f>
        <v>李光博</v>
      </c>
      <c r="D2010" s="3" t="str">
        <f>"男"</f>
        <v>男</v>
      </c>
      <c r="E2010" s="3" t="str">
        <f>"2507016825"</f>
        <v>2507016825</v>
      </c>
      <c r="F2010" s="3" t="str">
        <f t="shared" si="187"/>
        <v>68</v>
      </c>
      <c r="G2010" s="4" t="str">
        <f>"25"</f>
        <v>25</v>
      </c>
      <c r="H2010" s="5">
        <v>74.6</v>
      </c>
      <c r="I2010" s="3"/>
    </row>
    <row r="2011" customHeight="1" spans="1:9">
      <c r="A2011" s="3" t="str">
        <f t="shared" si="184"/>
        <v>0101</v>
      </c>
      <c r="B2011" s="3" t="s">
        <v>21</v>
      </c>
      <c r="C2011" s="3" t="str">
        <f>"任羽佳"</f>
        <v>任羽佳</v>
      </c>
      <c r="D2011" s="3" t="str">
        <f t="shared" ref="D2011:D2024" si="190">"女"</f>
        <v>女</v>
      </c>
      <c r="E2011" s="3" t="str">
        <f>"2507016826"</f>
        <v>2507016826</v>
      </c>
      <c r="F2011" s="3" t="str">
        <f t="shared" si="187"/>
        <v>68</v>
      </c>
      <c r="G2011" s="4" t="str">
        <f>"26"</f>
        <v>26</v>
      </c>
      <c r="H2011" s="5">
        <v>73</v>
      </c>
      <c r="I2011" s="3"/>
    </row>
    <row r="2012" customHeight="1" spans="1:9">
      <c r="A2012" s="3" t="str">
        <f t="shared" si="184"/>
        <v>0101</v>
      </c>
      <c r="B2012" s="3" t="s">
        <v>21</v>
      </c>
      <c r="C2012" s="3" t="str">
        <f>"吕雯"</f>
        <v>吕雯</v>
      </c>
      <c r="D2012" s="3" t="str">
        <f t="shared" si="190"/>
        <v>女</v>
      </c>
      <c r="E2012" s="3" t="str">
        <f>"2507016827"</f>
        <v>2507016827</v>
      </c>
      <c r="F2012" s="3" t="str">
        <f t="shared" si="187"/>
        <v>68</v>
      </c>
      <c r="G2012" s="4" t="str">
        <f>"27"</f>
        <v>27</v>
      </c>
      <c r="H2012" s="5">
        <v>0</v>
      </c>
      <c r="I2012" s="3" t="s">
        <v>11</v>
      </c>
    </row>
    <row r="2013" customHeight="1" spans="1:9">
      <c r="A2013" s="3" t="str">
        <f t="shared" si="184"/>
        <v>0101</v>
      </c>
      <c r="B2013" s="3" t="s">
        <v>21</v>
      </c>
      <c r="C2013" s="3" t="str">
        <f>"杨慧贤"</f>
        <v>杨慧贤</v>
      </c>
      <c r="D2013" s="3" t="str">
        <f t="shared" si="190"/>
        <v>女</v>
      </c>
      <c r="E2013" s="3" t="str">
        <f>"2507016828"</f>
        <v>2507016828</v>
      </c>
      <c r="F2013" s="3" t="str">
        <f t="shared" si="187"/>
        <v>68</v>
      </c>
      <c r="G2013" s="4" t="str">
        <f>"28"</f>
        <v>28</v>
      </c>
      <c r="H2013" s="5">
        <v>73.1</v>
      </c>
      <c r="I2013" s="3"/>
    </row>
    <row r="2014" customHeight="1" spans="1:9">
      <c r="A2014" s="3" t="str">
        <f t="shared" si="184"/>
        <v>0101</v>
      </c>
      <c r="B2014" s="3" t="s">
        <v>21</v>
      </c>
      <c r="C2014" s="3" t="str">
        <f>"荆可儿"</f>
        <v>荆可儿</v>
      </c>
      <c r="D2014" s="3" t="str">
        <f t="shared" si="190"/>
        <v>女</v>
      </c>
      <c r="E2014" s="3" t="str">
        <f>"2507016829"</f>
        <v>2507016829</v>
      </c>
      <c r="F2014" s="3" t="str">
        <f t="shared" si="187"/>
        <v>68</v>
      </c>
      <c r="G2014" s="4" t="str">
        <f>"29"</f>
        <v>29</v>
      </c>
      <c r="H2014" s="5">
        <v>72.7</v>
      </c>
      <c r="I2014" s="3"/>
    </row>
    <row r="2015" customHeight="1" spans="1:9">
      <c r="A2015" s="3" t="str">
        <f t="shared" si="184"/>
        <v>0101</v>
      </c>
      <c r="B2015" s="3" t="s">
        <v>21</v>
      </c>
      <c r="C2015" s="3" t="str">
        <f>"刘润羽"</f>
        <v>刘润羽</v>
      </c>
      <c r="D2015" s="3" t="str">
        <f t="shared" si="190"/>
        <v>女</v>
      </c>
      <c r="E2015" s="3" t="str">
        <f>"2507016830"</f>
        <v>2507016830</v>
      </c>
      <c r="F2015" s="3" t="str">
        <f t="shared" si="187"/>
        <v>68</v>
      </c>
      <c r="G2015" s="4" t="str">
        <f>"30"</f>
        <v>30</v>
      </c>
      <c r="H2015" s="5">
        <v>0</v>
      </c>
      <c r="I2015" s="3" t="s">
        <v>11</v>
      </c>
    </row>
    <row r="2016" customHeight="1" spans="1:9">
      <c r="A2016" s="3" t="str">
        <f t="shared" si="184"/>
        <v>0101</v>
      </c>
      <c r="B2016" s="3" t="s">
        <v>21</v>
      </c>
      <c r="C2016" s="3" t="str">
        <f>"徐晶晶"</f>
        <v>徐晶晶</v>
      </c>
      <c r="D2016" s="3" t="str">
        <f t="shared" si="190"/>
        <v>女</v>
      </c>
      <c r="E2016" s="3" t="str">
        <f>"2507016831"</f>
        <v>2507016831</v>
      </c>
      <c r="F2016" s="3" t="str">
        <f t="shared" si="187"/>
        <v>68</v>
      </c>
      <c r="G2016" s="4" t="str">
        <f>"31"</f>
        <v>31</v>
      </c>
      <c r="H2016" s="5">
        <v>74</v>
      </c>
      <c r="I2016" s="3"/>
    </row>
    <row r="2017" customHeight="1" spans="1:9">
      <c r="A2017" s="3" t="str">
        <f t="shared" si="184"/>
        <v>0101</v>
      </c>
      <c r="B2017" s="3" t="s">
        <v>21</v>
      </c>
      <c r="C2017" s="3" t="str">
        <f>"梁爱"</f>
        <v>梁爱</v>
      </c>
      <c r="D2017" s="3" t="str">
        <f t="shared" si="190"/>
        <v>女</v>
      </c>
      <c r="E2017" s="3" t="str">
        <f>"2507016901"</f>
        <v>2507016901</v>
      </c>
      <c r="F2017" s="3" t="str">
        <f t="shared" ref="F2017:F2047" si="191">"69"</f>
        <v>69</v>
      </c>
      <c r="G2017" s="4" t="str">
        <f>"01"</f>
        <v>01</v>
      </c>
      <c r="H2017" s="5">
        <v>77.5</v>
      </c>
      <c r="I2017" s="3"/>
    </row>
    <row r="2018" customHeight="1" spans="1:9">
      <c r="A2018" s="3" t="str">
        <f t="shared" si="184"/>
        <v>0101</v>
      </c>
      <c r="B2018" s="3" t="s">
        <v>21</v>
      </c>
      <c r="C2018" s="3" t="str">
        <f>"陆晔"</f>
        <v>陆晔</v>
      </c>
      <c r="D2018" s="3" t="str">
        <f t="shared" si="190"/>
        <v>女</v>
      </c>
      <c r="E2018" s="3" t="str">
        <f>"2507016902"</f>
        <v>2507016902</v>
      </c>
      <c r="F2018" s="3" t="str">
        <f t="shared" si="191"/>
        <v>69</v>
      </c>
      <c r="G2018" s="4" t="str">
        <f>"02"</f>
        <v>02</v>
      </c>
      <c r="H2018" s="5">
        <v>77.9</v>
      </c>
      <c r="I2018" s="3"/>
    </row>
    <row r="2019" customHeight="1" spans="1:9">
      <c r="A2019" s="3" t="str">
        <f t="shared" si="184"/>
        <v>0101</v>
      </c>
      <c r="B2019" s="3" t="s">
        <v>21</v>
      </c>
      <c r="C2019" s="3" t="str">
        <f>"张宗琪"</f>
        <v>张宗琪</v>
      </c>
      <c r="D2019" s="3" t="str">
        <f t="shared" si="190"/>
        <v>女</v>
      </c>
      <c r="E2019" s="3" t="str">
        <f>"2507016903"</f>
        <v>2507016903</v>
      </c>
      <c r="F2019" s="3" t="str">
        <f t="shared" si="191"/>
        <v>69</v>
      </c>
      <c r="G2019" s="4" t="str">
        <f>"03"</f>
        <v>03</v>
      </c>
      <c r="H2019" s="5">
        <v>0</v>
      </c>
      <c r="I2019" s="3" t="s">
        <v>11</v>
      </c>
    </row>
    <row r="2020" customHeight="1" spans="1:9">
      <c r="A2020" s="3" t="str">
        <f t="shared" si="184"/>
        <v>0101</v>
      </c>
      <c r="B2020" s="3" t="s">
        <v>21</v>
      </c>
      <c r="C2020" s="3" t="str">
        <f>"范清华"</f>
        <v>范清华</v>
      </c>
      <c r="D2020" s="3" t="str">
        <f t="shared" si="190"/>
        <v>女</v>
      </c>
      <c r="E2020" s="3" t="str">
        <f>"2507016904"</f>
        <v>2507016904</v>
      </c>
      <c r="F2020" s="3" t="str">
        <f t="shared" si="191"/>
        <v>69</v>
      </c>
      <c r="G2020" s="4" t="str">
        <f>"04"</f>
        <v>04</v>
      </c>
      <c r="H2020" s="5">
        <v>79.9</v>
      </c>
      <c r="I2020" s="3"/>
    </row>
    <row r="2021" customHeight="1" spans="1:9">
      <c r="A2021" s="3" t="str">
        <f t="shared" si="184"/>
        <v>0101</v>
      </c>
      <c r="B2021" s="3" t="s">
        <v>21</v>
      </c>
      <c r="C2021" s="3" t="str">
        <f>"韩辛茹"</f>
        <v>韩辛茹</v>
      </c>
      <c r="D2021" s="3" t="str">
        <f t="shared" si="190"/>
        <v>女</v>
      </c>
      <c r="E2021" s="3" t="str">
        <f>"2507016905"</f>
        <v>2507016905</v>
      </c>
      <c r="F2021" s="3" t="str">
        <f t="shared" si="191"/>
        <v>69</v>
      </c>
      <c r="G2021" s="4" t="str">
        <f>"05"</f>
        <v>05</v>
      </c>
      <c r="H2021" s="5">
        <v>74.3</v>
      </c>
      <c r="I2021" s="3"/>
    </row>
    <row r="2022" customHeight="1" spans="1:9">
      <c r="A2022" s="3" t="str">
        <f t="shared" si="184"/>
        <v>0101</v>
      </c>
      <c r="B2022" s="3" t="s">
        <v>21</v>
      </c>
      <c r="C2022" s="3" t="str">
        <f>"苗舒畅"</f>
        <v>苗舒畅</v>
      </c>
      <c r="D2022" s="3" t="str">
        <f t="shared" si="190"/>
        <v>女</v>
      </c>
      <c r="E2022" s="3" t="str">
        <f>"2507016906"</f>
        <v>2507016906</v>
      </c>
      <c r="F2022" s="3" t="str">
        <f t="shared" si="191"/>
        <v>69</v>
      </c>
      <c r="G2022" s="4" t="str">
        <f>"06"</f>
        <v>06</v>
      </c>
      <c r="H2022" s="5">
        <v>76.1</v>
      </c>
      <c r="I2022" s="3"/>
    </row>
    <row r="2023" customHeight="1" spans="1:9">
      <c r="A2023" s="3" t="str">
        <f t="shared" si="184"/>
        <v>0101</v>
      </c>
      <c r="B2023" s="3" t="s">
        <v>21</v>
      </c>
      <c r="C2023" s="3" t="str">
        <f>"曹海燕"</f>
        <v>曹海燕</v>
      </c>
      <c r="D2023" s="3" t="str">
        <f t="shared" si="190"/>
        <v>女</v>
      </c>
      <c r="E2023" s="3" t="str">
        <f>"2507016907"</f>
        <v>2507016907</v>
      </c>
      <c r="F2023" s="3" t="str">
        <f t="shared" si="191"/>
        <v>69</v>
      </c>
      <c r="G2023" s="4" t="str">
        <f>"07"</f>
        <v>07</v>
      </c>
      <c r="H2023" s="5">
        <v>71.1</v>
      </c>
      <c r="I2023" s="3"/>
    </row>
    <row r="2024" customHeight="1" spans="1:9">
      <c r="A2024" s="3" t="str">
        <f t="shared" si="184"/>
        <v>0101</v>
      </c>
      <c r="B2024" s="3" t="s">
        <v>21</v>
      </c>
      <c r="C2024" s="3" t="str">
        <f>"江澜"</f>
        <v>江澜</v>
      </c>
      <c r="D2024" s="3" t="str">
        <f t="shared" si="190"/>
        <v>女</v>
      </c>
      <c r="E2024" s="3" t="str">
        <f>"2507016908"</f>
        <v>2507016908</v>
      </c>
      <c r="F2024" s="3" t="str">
        <f t="shared" si="191"/>
        <v>69</v>
      </c>
      <c r="G2024" s="4" t="str">
        <f>"08"</f>
        <v>08</v>
      </c>
      <c r="H2024" s="5">
        <v>0</v>
      </c>
      <c r="I2024" s="3" t="s">
        <v>11</v>
      </c>
    </row>
    <row r="2025" customHeight="1" spans="1:9">
      <c r="A2025" s="3" t="str">
        <f t="shared" si="184"/>
        <v>0101</v>
      </c>
      <c r="B2025" s="3" t="s">
        <v>21</v>
      </c>
      <c r="C2025" s="3" t="str">
        <f>"周文昭"</f>
        <v>周文昭</v>
      </c>
      <c r="D2025" s="3" t="str">
        <f>"男"</f>
        <v>男</v>
      </c>
      <c r="E2025" s="3" t="str">
        <f>"2507016909"</f>
        <v>2507016909</v>
      </c>
      <c r="F2025" s="3" t="str">
        <f t="shared" si="191"/>
        <v>69</v>
      </c>
      <c r="G2025" s="4" t="str">
        <f>"09"</f>
        <v>09</v>
      </c>
      <c r="H2025" s="5">
        <v>71.3</v>
      </c>
      <c r="I2025" s="3"/>
    </row>
    <row r="2026" customHeight="1" spans="1:9">
      <c r="A2026" s="3" t="str">
        <f t="shared" ref="A2026:A2089" si="192">"0101"</f>
        <v>0101</v>
      </c>
      <c r="B2026" s="3" t="s">
        <v>21</v>
      </c>
      <c r="C2026" s="3" t="str">
        <f>"韦路璐"</f>
        <v>韦路璐</v>
      </c>
      <c r="D2026" s="3" t="str">
        <f t="shared" ref="D2026:D2032" si="193">"女"</f>
        <v>女</v>
      </c>
      <c r="E2026" s="3" t="str">
        <f>"2507016910"</f>
        <v>2507016910</v>
      </c>
      <c r="F2026" s="3" t="str">
        <f t="shared" si="191"/>
        <v>69</v>
      </c>
      <c r="G2026" s="4" t="str">
        <f>"10"</f>
        <v>10</v>
      </c>
      <c r="H2026" s="5">
        <v>74.8</v>
      </c>
      <c r="I2026" s="3"/>
    </row>
    <row r="2027" customHeight="1" spans="1:9">
      <c r="A2027" s="3" t="str">
        <f t="shared" si="192"/>
        <v>0101</v>
      </c>
      <c r="B2027" s="3" t="s">
        <v>21</v>
      </c>
      <c r="C2027" s="3" t="str">
        <f>"华红虹"</f>
        <v>华红虹</v>
      </c>
      <c r="D2027" s="3" t="str">
        <f t="shared" si="193"/>
        <v>女</v>
      </c>
      <c r="E2027" s="3" t="str">
        <f>"2507016911"</f>
        <v>2507016911</v>
      </c>
      <c r="F2027" s="3" t="str">
        <f t="shared" si="191"/>
        <v>69</v>
      </c>
      <c r="G2027" s="4" t="str">
        <f>"11"</f>
        <v>11</v>
      </c>
      <c r="H2027" s="5">
        <v>67.5</v>
      </c>
      <c r="I2027" s="3"/>
    </row>
    <row r="2028" customHeight="1" spans="1:9">
      <c r="A2028" s="3" t="str">
        <f t="shared" si="192"/>
        <v>0101</v>
      </c>
      <c r="B2028" s="3" t="s">
        <v>21</v>
      </c>
      <c r="C2028" s="3" t="str">
        <f>"王艺菲"</f>
        <v>王艺菲</v>
      </c>
      <c r="D2028" s="3" t="str">
        <f t="shared" si="193"/>
        <v>女</v>
      </c>
      <c r="E2028" s="3" t="str">
        <f>"2507016912"</f>
        <v>2507016912</v>
      </c>
      <c r="F2028" s="3" t="str">
        <f t="shared" si="191"/>
        <v>69</v>
      </c>
      <c r="G2028" s="4" t="str">
        <f>"12"</f>
        <v>12</v>
      </c>
      <c r="H2028" s="5">
        <v>0</v>
      </c>
      <c r="I2028" s="3" t="s">
        <v>11</v>
      </c>
    </row>
    <row r="2029" customHeight="1" spans="1:9">
      <c r="A2029" s="3" t="str">
        <f t="shared" si="192"/>
        <v>0101</v>
      </c>
      <c r="B2029" s="3" t="s">
        <v>21</v>
      </c>
      <c r="C2029" s="3" t="str">
        <f>"王敏"</f>
        <v>王敏</v>
      </c>
      <c r="D2029" s="3" t="str">
        <f t="shared" si="193"/>
        <v>女</v>
      </c>
      <c r="E2029" s="3" t="str">
        <f>"2507016913"</f>
        <v>2507016913</v>
      </c>
      <c r="F2029" s="3" t="str">
        <f t="shared" si="191"/>
        <v>69</v>
      </c>
      <c r="G2029" s="4" t="str">
        <f>"13"</f>
        <v>13</v>
      </c>
      <c r="H2029" s="5">
        <v>65.4</v>
      </c>
      <c r="I2029" s="3"/>
    </row>
    <row r="2030" customHeight="1" spans="1:9">
      <c r="A2030" s="3" t="str">
        <f t="shared" si="192"/>
        <v>0101</v>
      </c>
      <c r="B2030" s="3" t="s">
        <v>21</v>
      </c>
      <c r="C2030" s="3" t="str">
        <f>"沈娟"</f>
        <v>沈娟</v>
      </c>
      <c r="D2030" s="3" t="str">
        <f t="shared" si="193"/>
        <v>女</v>
      </c>
      <c r="E2030" s="3" t="str">
        <f>"2507016914"</f>
        <v>2507016914</v>
      </c>
      <c r="F2030" s="3" t="str">
        <f t="shared" si="191"/>
        <v>69</v>
      </c>
      <c r="G2030" s="4" t="str">
        <f>"14"</f>
        <v>14</v>
      </c>
      <c r="H2030" s="5">
        <v>0</v>
      </c>
      <c r="I2030" s="3" t="s">
        <v>11</v>
      </c>
    </row>
    <row r="2031" customHeight="1" spans="1:9">
      <c r="A2031" s="3" t="str">
        <f t="shared" si="192"/>
        <v>0101</v>
      </c>
      <c r="B2031" s="3" t="s">
        <v>21</v>
      </c>
      <c r="C2031" s="3" t="str">
        <f>"郑雅慧"</f>
        <v>郑雅慧</v>
      </c>
      <c r="D2031" s="3" t="str">
        <f t="shared" si="193"/>
        <v>女</v>
      </c>
      <c r="E2031" s="3" t="str">
        <f>"2507016915"</f>
        <v>2507016915</v>
      </c>
      <c r="F2031" s="3" t="str">
        <f t="shared" si="191"/>
        <v>69</v>
      </c>
      <c r="G2031" s="4" t="str">
        <f>"15"</f>
        <v>15</v>
      </c>
      <c r="H2031" s="5">
        <v>60.4</v>
      </c>
      <c r="I2031" s="3"/>
    </row>
    <row r="2032" customHeight="1" spans="1:9">
      <c r="A2032" s="3" t="str">
        <f t="shared" si="192"/>
        <v>0101</v>
      </c>
      <c r="B2032" s="3" t="s">
        <v>21</v>
      </c>
      <c r="C2032" s="3" t="str">
        <f>"甘朔文"</f>
        <v>甘朔文</v>
      </c>
      <c r="D2032" s="3" t="str">
        <f t="shared" si="193"/>
        <v>女</v>
      </c>
      <c r="E2032" s="3" t="str">
        <f>"2507016916"</f>
        <v>2507016916</v>
      </c>
      <c r="F2032" s="3" t="str">
        <f t="shared" si="191"/>
        <v>69</v>
      </c>
      <c r="G2032" s="4" t="str">
        <f>"16"</f>
        <v>16</v>
      </c>
      <c r="H2032" s="5">
        <v>75.3</v>
      </c>
      <c r="I2032" s="3"/>
    </row>
    <row r="2033" customHeight="1" spans="1:9">
      <c r="A2033" s="3" t="str">
        <f t="shared" si="192"/>
        <v>0101</v>
      </c>
      <c r="B2033" s="3" t="s">
        <v>21</v>
      </c>
      <c r="C2033" s="3" t="str">
        <f>"王贺"</f>
        <v>王贺</v>
      </c>
      <c r="D2033" s="3" t="str">
        <f>"男"</f>
        <v>男</v>
      </c>
      <c r="E2033" s="3" t="str">
        <f>"2507016917"</f>
        <v>2507016917</v>
      </c>
      <c r="F2033" s="3" t="str">
        <f t="shared" si="191"/>
        <v>69</v>
      </c>
      <c r="G2033" s="4" t="str">
        <f>"17"</f>
        <v>17</v>
      </c>
      <c r="H2033" s="5">
        <v>82.5</v>
      </c>
      <c r="I2033" s="3"/>
    </row>
    <row r="2034" customHeight="1" spans="1:9">
      <c r="A2034" s="3" t="str">
        <f t="shared" si="192"/>
        <v>0101</v>
      </c>
      <c r="B2034" s="3" t="s">
        <v>21</v>
      </c>
      <c r="C2034" s="3" t="str">
        <f>"马腾"</f>
        <v>马腾</v>
      </c>
      <c r="D2034" s="3" t="str">
        <f t="shared" ref="D2034:D2054" si="194">"女"</f>
        <v>女</v>
      </c>
      <c r="E2034" s="3" t="str">
        <f>"2507016918"</f>
        <v>2507016918</v>
      </c>
      <c r="F2034" s="3" t="str">
        <f t="shared" si="191"/>
        <v>69</v>
      </c>
      <c r="G2034" s="4" t="str">
        <f>"18"</f>
        <v>18</v>
      </c>
      <c r="H2034" s="5">
        <v>70</v>
      </c>
      <c r="I2034" s="3"/>
    </row>
    <row r="2035" customHeight="1" spans="1:9">
      <c r="A2035" s="3" t="str">
        <f t="shared" si="192"/>
        <v>0101</v>
      </c>
      <c r="B2035" s="3" t="s">
        <v>21</v>
      </c>
      <c r="C2035" s="3" t="str">
        <f>"陈梦洁"</f>
        <v>陈梦洁</v>
      </c>
      <c r="D2035" s="3" t="str">
        <f t="shared" si="194"/>
        <v>女</v>
      </c>
      <c r="E2035" s="3" t="str">
        <f>"2507016919"</f>
        <v>2507016919</v>
      </c>
      <c r="F2035" s="3" t="str">
        <f t="shared" si="191"/>
        <v>69</v>
      </c>
      <c r="G2035" s="4" t="str">
        <f>"19"</f>
        <v>19</v>
      </c>
      <c r="H2035" s="5">
        <v>71.2</v>
      </c>
      <c r="I2035" s="3"/>
    </row>
    <row r="2036" customHeight="1" spans="1:9">
      <c r="A2036" s="3" t="str">
        <f t="shared" si="192"/>
        <v>0101</v>
      </c>
      <c r="B2036" s="3" t="s">
        <v>21</v>
      </c>
      <c r="C2036" s="3" t="str">
        <f>"刘昕怡"</f>
        <v>刘昕怡</v>
      </c>
      <c r="D2036" s="3" t="str">
        <f t="shared" si="194"/>
        <v>女</v>
      </c>
      <c r="E2036" s="3" t="str">
        <f>"2507016920"</f>
        <v>2507016920</v>
      </c>
      <c r="F2036" s="3" t="str">
        <f t="shared" si="191"/>
        <v>69</v>
      </c>
      <c r="G2036" s="4" t="str">
        <f>"20"</f>
        <v>20</v>
      </c>
      <c r="H2036" s="5">
        <v>74.3</v>
      </c>
      <c r="I2036" s="3"/>
    </row>
    <row r="2037" customHeight="1" spans="1:9">
      <c r="A2037" s="3" t="str">
        <f t="shared" si="192"/>
        <v>0101</v>
      </c>
      <c r="B2037" s="3" t="s">
        <v>21</v>
      </c>
      <c r="C2037" s="3" t="str">
        <f>"乔艳飞"</f>
        <v>乔艳飞</v>
      </c>
      <c r="D2037" s="3" t="str">
        <f t="shared" si="194"/>
        <v>女</v>
      </c>
      <c r="E2037" s="3" t="str">
        <f>"2507016921"</f>
        <v>2507016921</v>
      </c>
      <c r="F2037" s="3" t="str">
        <f t="shared" si="191"/>
        <v>69</v>
      </c>
      <c r="G2037" s="4" t="str">
        <f>"21"</f>
        <v>21</v>
      </c>
      <c r="H2037" s="5">
        <v>78.3</v>
      </c>
      <c r="I2037" s="3"/>
    </row>
    <row r="2038" customHeight="1" spans="1:9">
      <c r="A2038" s="3" t="str">
        <f t="shared" si="192"/>
        <v>0101</v>
      </c>
      <c r="B2038" s="3" t="s">
        <v>21</v>
      </c>
      <c r="C2038" s="3" t="str">
        <f>"薛欣"</f>
        <v>薛欣</v>
      </c>
      <c r="D2038" s="3" t="str">
        <f t="shared" si="194"/>
        <v>女</v>
      </c>
      <c r="E2038" s="3" t="str">
        <f>"2507016922"</f>
        <v>2507016922</v>
      </c>
      <c r="F2038" s="3" t="str">
        <f t="shared" si="191"/>
        <v>69</v>
      </c>
      <c r="G2038" s="4" t="str">
        <f>"22"</f>
        <v>22</v>
      </c>
      <c r="H2038" s="5">
        <v>72.1</v>
      </c>
      <c r="I2038" s="3"/>
    </row>
    <row r="2039" customHeight="1" spans="1:9">
      <c r="A2039" s="3" t="str">
        <f t="shared" si="192"/>
        <v>0101</v>
      </c>
      <c r="B2039" s="3" t="s">
        <v>21</v>
      </c>
      <c r="C2039" s="3" t="str">
        <f>"王梦"</f>
        <v>王梦</v>
      </c>
      <c r="D2039" s="3" t="str">
        <f t="shared" si="194"/>
        <v>女</v>
      </c>
      <c r="E2039" s="3" t="str">
        <f>"2507016923"</f>
        <v>2507016923</v>
      </c>
      <c r="F2039" s="3" t="str">
        <f t="shared" si="191"/>
        <v>69</v>
      </c>
      <c r="G2039" s="4" t="str">
        <f>"23"</f>
        <v>23</v>
      </c>
      <c r="H2039" s="5">
        <v>77.5</v>
      </c>
      <c r="I2039" s="3"/>
    </row>
    <row r="2040" customHeight="1" spans="1:9">
      <c r="A2040" s="3" t="str">
        <f t="shared" si="192"/>
        <v>0101</v>
      </c>
      <c r="B2040" s="3" t="s">
        <v>21</v>
      </c>
      <c r="C2040" s="3" t="str">
        <f>"魏文娜"</f>
        <v>魏文娜</v>
      </c>
      <c r="D2040" s="3" t="str">
        <f t="shared" si="194"/>
        <v>女</v>
      </c>
      <c r="E2040" s="3" t="str">
        <f>"2507016924"</f>
        <v>2507016924</v>
      </c>
      <c r="F2040" s="3" t="str">
        <f t="shared" si="191"/>
        <v>69</v>
      </c>
      <c r="G2040" s="4" t="str">
        <f>"24"</f>
        <v>24</v>
      </c>
      <c r="H2040" s="5">
        <v>77.4</v>
      </c>
      <c r="I2040" s="3"/>
    </row>
    <row r="2041" customHeight="1" spans="1:9">
      <c r="A2041" s="3" t="str">
        <f t="shared" si="192"/>
        <v>0101</v>
      </c>
      <c r="B2041" s="3" t="s">
        <v>21</v>
      </c>
      <c r="C2041" s="3" t="str">
        <f>"汪芸"</f>
        <v>汪芸</v>
      </c>
      <c r="D2041" s="3" t="str">
        <f t="shared" si="194"/>
        <v>女</v>
      </c>
      <c r="E2041" s="3" t="str">
        <f>"2507016925"</f>
        <v>2507016925</v>
      </c>
      <c r="F2041" s="3" t="str">
        <f t="shared" si="191"/>
        <v>69</v>
      </c>
      <c r="G2041" s="4" t="str">
        <f>"25"</f>
        <v>25</v>
      </c>
      <c r="H2041" s="5">
        <v>0</v>
      </c>
      <c r="I2041" s="3" t="s">
        <v>11</v>
      </c>
    </row>
    <row r="2042" customHeight="1" spans="1:9">
      <c r="A2042" s="3" t="str">
        <f t="shared" si="192"/>
        <v>0101</v>
      </c>
      <c r="B2042" s="3" t="s">
        <v>21</v>
      </c>
      <c r="C2042" s="3" t="str">
        <f>"姚怡冰"</f>
        <v>姚怡冰</v>
      </c>
      <c r="D2042" s="3" t="str">
        <f t="shared" si="194"/>
        <v>女</v>
      </c>
      <c r="E2042" s="3" t="str">
        <f>"2507016926"</f>
        <v>2507016926</v>
      </c>
      <c r="F2042" s="3" t="str">
        <f t="shared" si="191"/>
        <v>69</v>
      </c>
      <c r="G2042" s="4" t="str">
        <f>"26"</f>
        <v>26</v>
      </c>
      <c r="H2042" s="5">
        <v>64.5</v>
      </c>
      <c r="I2042" s="3"/>
    </row>
    <row r="2043" customHeight="1" spans="1:9">
      <c r="A2043" s="3" t="str">
        <f t="shared" si="192"/>
        <v>0101</v>
      </c>
      <c r="B2043" s="3" t="s">
        <v>21</v>
      </c>
      <c r="C2043" s="3" t="str">
        <f>"石智慧"</f>
        <v>石智慧</v>
      </c>
      <c r="D2043" s="3" t="str">
        <f t="shared" si="194"/>
        <v>女</v>
      </c>
      <c r="E2043" s="3" t="str">
        <f>"2507016927"</f>
        <v>2507016927</v>
      </c>
      <c r="F2043" s="3" t="str">
        <f t="shared" si="191"/>
        <v>69</v>
      </c>
      <c r="G2043" s="4" t="str">
        <f>"27"</f>
        <v>27</v>
      </c>
      <c r="H2043" s="5">
        <v>66.1</v>
      </c>
      <c r="I2043" s="3"/>
    </row>
    <row r="2044" customHeight="1" spans="1:9">
      <c r="A2044" s="3" t="str">
        <f t="shared" si="192"/>
        <v>0101</v>
      </c>
      <c r="B2044" s="3" t="s">
        <v>21</v>
      </c>
      <c r="C2044" s="3" t="str">
        <f>"张田"</f>
        <v>张田</v>
      </c>
      <c r="D2044" s="3" t="str">
        <f t="shared" si="194"/>
        <v>女</v>
      </c>
      <c r="E2044" s="3" t="str">
        <f>"2507016928"</f>
        <v>2507016928</v>
      </c>
      <c r="F2044" s="3" t="str">
        <f t="shared" si="191"/>
        <v>69</v>
      </c>
      <c r="G2044" s="4" t="str">
        <f>"28"</f>
        <v>28</v>
      </c>
      <c r="H2044" s="5">
        <v>67.7</v>
      </c>
      <c r="I2044" s="3"/>
    </row>
    <row r="2045" customHeight="1" spans="1:9">
      <c r="A2045" s="3" t="str">
        <f t="shared" si="192"/>
        <v>0101</v>
      </c>
      <c r="B2045" s="3" t="s">
        <v>21</v>
      </c>
      <c r="C2045" s="3" t="str">
        <f>"胥丹"</f>
        <v>胥丹</v>
      </c>
      <c r="D2045" s="3" t="str">
        <f t="shared" si="194"/>
        <v>女</v>
      </c>
      <c r="E2045" s="3" t="str">
        <f>"2507016929"</f>
        <v>2507016929</v>
      </c>
      <c r="F2045" s="3" t="str">
        <f t="shared" si="191"/>
        <v>69</v>
      </c>
      <c r="G2045" s="4" t="str">
        <f>"29"</f>
        <v>29</v>
      </c>
      <c r="H2045" s="5">
        <v>74.6</v>
      </c>
      <c r="I2045" s="3"/>
    </row>
    <row r="2046" customHeight="1" spans="1:9">
      <c r="A2046" s="3" t="str">
        <f t="shared" si="192"/>
        <v>0101</v>
      </c>
      <c r="B2046" s="3" t="s">
        <v>21</v>
      </c>
      <c r="C2046" s="3" t="str">
        <f>"李月玮"</f>
        <v>李月玮</v>
      </c>
      <c r="D2046" s="3" t="str">
        <f t="shared" si="194"/>
        <v>女</v>
      </c>
      <c r="E2046" s="3" t="str">
        <f>"2507016930"</f>
        <v>2507016930</v>
      </c>
      <c r="F2046" s="3" t="str">
        <f t="shared" si="191"/>
        <v>69</v>
      </c>
      <c r="G2046" s="4" t="str">
        <f>"30"</f>
        <v>30</v>
      </c>
      <c r="H2046" s="5">
        <v>75.4</v>
      </c>
      <c r="I2046" s="3"/>
    </row>
    <row r="2047" customHeight="1" spans="1:9">
      <c r="A2047" s="3" t="str">
        <f t="shared" si="192"/>
        <v>0101</v>
      </c>
      <c r="B2047" s="3" t="s">
        <v>21</v>
      </c>
      <c r="C2047" s="3" t="str">
        <f>"韩广霞"</f>
        <v>韩广霞</v>
      </c>
      <c r="D2047" s="3" t="str">
        <f t="shared" si="194"/>
        <v>女</v>
      </c>
      <c r="E2047" s="3" t="str">
        <f>"2507016931"</f>
        <v>2507016931</v>
      </c>
      <c r="F2047" s="3" t="str">
        <f t="shared" si="191"/>
        <v>69</v>
      </c>
      <c r="G2047" s="4" t="str">
        <f>"31"</f>
        <v>31</v>
      </c>
      <c r="H2047" s="5">
        <v>81</v>
      </c>
      <c r="I2047" s="3"/>
    </row>
    <row r="2048" customHeight="1" spans="1:9">
      <c r="A2048" s="3" t="str">
        <f t="shared" si="192"/>
        <v>0101</v>
      </c>
      <c r="B2048" s="3" t="s">
        <v>21</v>
      </c>
      <c r="C2048" s="3" t="str">
        <f>"卢骏楊"</f>
        <v>卢骏楊</v>
      </c>
      <c r="D2048" s="3" t="str">
        <f t="shared" si="194"/>
        <v>女</v>
      </c>
      <c r="E2048" s="3" t="str">
        <f>"2507017001"</f>
        <v>2507017001</v>
      </c>
      <c r="F2048" s="3" t="str">
        <f t="shared" ref="F2048:F2078" si="195">"70"</f>
        <v>70</v>
      </c>
      <c r="G2048" s="4" t="str">
        <f>"01"</f>
        <v>01</v>
      </c>
      <c r="H2048" s="5">
        <v>66.9</v>
      </c>
      <c r="I2048" s="3"/>
    </row>
    <row r="2049" customHeight="1" spans="1:9">
      <c r="A2049" s="3" t="str">
        <f t="shared" si="192"/>
        <v>0101</v>
      </c>
      <c r="B2049" s="3" t="s">
        <v>21</v>
      </c>
      <c r="C2049" s="3" t="str">
        <f>"王玉"</f>
        <v>王玉</v>
      </c>
      <c r="D2049" s="3" t="str">
        <f t="shared" si="194"/>
        <v>女</v>
      </c>
      <c r="E2049" s="3" t="str">
        <f>"2507017002"</f>
        <v>2507017002</v>
      </c>
      <c r="F2049" s="3" t="str">
        <f t="shared" si="195"/>
        <v>70</v>
      </c>
      <c r="G2049" s="4" t="str">
        <f>"02"</f>
        <v>02</v>
      </c>
      <c r="H2049" s="5">
        <v>78.5</v>
      </c>
      <c r="I2049" s="3"/>
    </row>
    <row r="2050" customHeight="1" spans="1:9">
      <c r="A2050" s="3" t="str">
        <f t="shared" si="192"/>
        <v>0101</v>
      </c>
      <c r="B2050" s="3" t="s">
        <v>21</v>
      </c>
      <c r="C2050" s="3" t="str">
        <f>"平艳茹"</f>
        <v>平艳茹</v>
      </c>
      <c r="D2050" s="3" t="str">
        <f t="shared" si="194"/>
        <v>女</v>
      </c>
      <c r="E2050" s="3" t="str">
        <f>"2507017003"</f>
        <v>2507017003</v>
      </c>
      <c r="F2050" s="3" t="str">
        <f t="shared" si="195"/>
        <v>70</v>
      </c>
      <c r="G2050" s="4" t="str">
        <f>"03"</f>
        <v>03</v>
      </c>
      <c r="H2050" s="5">
        <v>69.2</v>
      </c>
      <c r="I2050" s="3"/>
    </row>
    <row r="2051" customHeight="1" spans="1:9">
      <c r="A2051" s="3" t="str">
        <f t="shared" si="192"/>
        <v>0101</v>
      </c>
      <c r="B2051" s="3" t="s">
        <v>21</v>
      </c>
      <c r="C2051" s="3" t="str">
        <f>"陈彦宁"</f>
        <v>陈彦宁</v>
      </c>
      <c r="D2051" s="3" t="str">
        <f t="shared" si="194"/>
        <v>女</v>
      </c>
      <c r="E2051" s="3" t="str">
        <f>"2507017004"</f>
        <v>2507017004</v>
      </c>
      <c r="F2051" s="3" t="str">
        <f t="shared" si="195"/>
        <v>70</v>
      </c>
      <c r="G2051" s="4" t="str">
        <f>"04"</f>
        <v>04</v>
      </c>
      <c r="H2051" s="5">
        <v>71.6</v>
      </c>
      <c r="I2051" s="3"/>
    </row>
    <row r="2052" customHeight="1" spans="1:9">
      <c r="A2052" s="3" t="str">
        <f t="shared" si="192"/>
        <v>0101</v>
      </c>
      <c r="B2052" s="3" t="s">
        <v>21</v>
      </c>
      <c r="C2052" s="3" t="str">
        <f>"何佳纭"</f>
        <v>何佳纭</v>
      </c>
      <c r="D2052" s="3" t="str">
        <f t="shared" si="194"/>
        <v>女</v>
      </c>
      <c r="E2052" s="3" t="str">
        <f>"2507017005"</f>
        <v>2507017005</v>
      </c>
      <c r="F2052" s="3" t="str">
        <f t="shared" si="195"/>
        <v>70</v>
      </c>
      <c r="G2052" s="4" t="str">
        <f>"05"</f>
        <v>05</v>
      </c>
      <c r="H2052" s="5">
        <v>0</v>
      </c>
      <c r="I2052" s="3" t="s">
        <v>11</v>
      </c>
    </row>
    <row r="2053" customHeight="1" spans="1:9">
      <c r="A2053" s="3" t="str">
        <f t="shared" si="192"/>
        <v>0101</v>
      </c>
      <c r="B2053" s="3" t="s">
        <v>21</v>
      </c>
      <c r="C2053" s="3" t="str">
        <f>"蔡梓萌"</f>
        <v>蔡梓萌</v>
      </c>
      <c r="D2053" s="3" t="str">
        <f t="shared" si="194"/>
        <v>女</v>
      </c>
      <c r="E2053" s="3" t="str">
        <f>"2507017006"</f>
        <v>2507017006</v>
      </c>
      <c r="F2053" s="3" t="str">
        <f t="shared" si="195"/>
        <v>70</v>
      </c>
      <c r="G2053" s="4" t="str">
        <f>"06"</f>
        <v>06</v>
      </c>
      <c r="H2053" s="5">
        <v>75.9</v>
      </c>
      <c r="I2053" s="3"/>
    </row>
    <row r="2054" customHeight="1" spans="1:9">
      <c r="A2054" s="3" t="str">
        <f t="shared" si="192"/>
        <v>0101</v>
      </c>
      <c r="B2054" s="3" t="s">
        <v>21</v>
      </c>
      <c r="C2054" s="3" t="str">
        <f>"赵馨"</f>
        <v>赵馨</v>
      </c>
      <c r="D2054" s="3" t="str">
        <f t="shared" si="194"/>
        <v>女</v>
      </c>
      <c r="E2054" s="3" t="str">
        <f>"2507017007"</f>
        <v>2507017007</v>
      </c>
      <c r="F2054" s="3" t="str">
        <f t="shared" si="195"/>
        <v>70</v>
      </c>
      <c r="G2054" s="4" t="str">
        <f>"07"</f>
        <v>07</v>
      </c>
      <c r="H2054" s="5">
        <v>70.1</v>
      </c>
      <c r="I2054" s="3"/>
    </row>
    <row r="2055" customHeight="1" spans="1:9">
      <c r="A2055" s="3" t="str">
        <f t="shared" si="192"/>
        <v>0101</v>
      </c>
      <c r="B2055" s="3" t="s">
        <v>21</v>
      </c>
      <c r="C2055" s="3" t="str">
        <f>"费正航"</f>
        <v>费正航</v>
      </c>
      <c r="D2055" s="3" t="str">
        <f>"男"</f>
        <v>男</v>
      </c>
      <c r="E2055" s="3" t="str">
        <f>"2507017008"</f>
        <v>2507017008</v>
      </c>
      <c r="F2055" s="3" t="str">
        <f t="shared" si="195"/>
        <v>70</v>
      </c>
      <c r="G2055" s="4" t="str">
        <f>"08"</f>
        <v>08</v>
      </c>
      <c r="H2055" s="5">
        <v>77</v>
      </c>
      <c r="I2055" s="3"/>
    </row>
    <row r="2056" customHeight="1" spans="1:9">
      <c r="A2056" s="3" t="str">
        <f t="shared" si="192"/>
        <v>0101</v>
      </c>
      <c r="B2056" s="3" t="s">
        <v>21</v>
      </c>
      <c r="C2056" s="3" t="str">
        <f>"张瑶"</f>
        <v>张瑶</v>
      </c>
      <c r="D2056" s="3" t="str">
        <f t="shared" ref="D2056:D2068" si="196">"女"</f>
        <v>女</v>
      </c>
      <c r="E2056" s="3" t="str">
        <f>"2507017009"</f>
        <v>2507017009</v>
      </c>
      <c r="F2056" s="3" t="str">
        <f t="shared" si="195"/>
        <v>70</v>
      </c>
      <c r="G2056" s="4" t="str">
        <f>"09"</f>
        <v>09</v>
      </c>
      <c r="H2056" s="5">
        <v>67.4</v>
      </c>
      <c r="I2056" s="3"/>
    </row>
    <row r="2057" customHeight="1" spans="1:9">
      <c r="A2057" s="3" t="str">
        <f t="shared" si="192"/>
        <v>0101</v>
      </c>
      <c r="B2057" s="3" t="s">
        <v>21</v>
      </c>
      <c r="C2057" s="3" t="str">
        <f>"宋德秀"</f>
        <v>宋德秀</v>
      </c>
      <c r="D2057" s="3" t="str">
        <f t="shared" si="196"/>
        <v>女</v>
      </c>
      <c r="E2057" s="3" t="str">
        <f>"2507017010"</f>
        <v>2507017010</v>
      </c>
      <c r="F2057" s="3" t="str">
        <f t="shared" si="195"/>
        <v>70</v>
      </c>
      <c r="G2057" s="4" t="str">
        <f>"10"</f>
        <v>10</v>
      </c>
      <c r="H2057" s="5">
        <v>0</v>
      </c>
      <c r="I2057" s="3" t="s">
        <v>11</v>
      </c>
    </row>
    <row r="2058" customHeight="1" spans="1:9">
      <c r="A2058" s="3" t="str">
        <f t="shared" si="192"/>
        <v>0101</v>
      </c>
      <c r="B2058" s="3" t="s">
        <v>21</v>
      </c>
      <c r="C2058" s="3" t="str">
        <f>"王瑞枫"</f>
        <v>王瑞枫</v>
      </c>
      <c r="D2058" s="3" t="str">
        <f t="shared" si="196"/>
        <v>女</v>
      </c>
      <c r="E2058" s="3" t="str">
        <f>"2507017011"</f>
        <v>2507017011</v>
      </c>
      <c r="F2058" s="3" t="str">
        <f t="shared" si="195"/>
        <v>70</v>
      </c>
      <c r="G2058" s="4" t="str">
        <f>"11"</f>
        <v>11</v>
      </c>
      <c r="H2058" s="5">
        <v>75.3</v>
      </c>
      <c r="I2058" s="3"/>
    </row>
    <row r="2059" customHeight="1" spans="1:9">
      <c r="A2059" s="3" t="str">
        <f t="shared" si="192"/>
        <v>0101</v>
      </c>
      <c r="B2059" s="3" t="s">
        <v>21</v>
      </c>
      <c r="C2059" s="3" t="str">
        <f>"王莉"</f>
        <v>王莉</v>
      </c>
      <c r="D2059" s="3" t="str">
        <f t="shared" si="196"/>
        <v>女</v>
      </c>
      <c r="E2059" s="3" t="str">
        <f>"2507017012"</f>
        <v>2507017012</v>
      </c>
      <c r="F2059" s="3" t="str">
        <f t="shared" si="195"/>
        <v>70</v>
      </c>
      <c r="G2059" s="4" t="str">
        <f>"12"</f>
        <v>12</v>
      </c>
      <c r="H2059" s="5">
        <v>70</v>
      </c>
      <c r="I2059" s="3"/>
    </row>
    <row r="2060" customHeight="1" spans="1:9">
      <c r="A2060" s="3" t="str">
        <f t="shared" si="192"/>
        <v>0101</v>
      </c>
      <c r="B2060" s="3" t="s">
        <v>21</v>
      </c>
      <c r="C2060" s="3" t="str">
        <f>"张迪"</f>
        <v>张迪</v>
      </c>
      <c r="D2060" s="3" t="str">
        <f t="shared" si="196"/>
        <v>女</v>
      </c>
      <c r="E2060" s="3" t="str">
        <f>"2507017013"</f>
        <v>2507017013</v>
      </c>
      <c r="F2060" s="3" t="str">
        <f t="shared" si="195"/>
        <v>70</v>
      </c>
      <c r="G2060" s="4" t="str">
        <f>"13"</f>
        <v>13</v>
      </c>
      <c r="H2060" s="5">
        <v>71.3</v>
      </c>
      <c r="I2060" s="3"/>
    </row>
    <row r="2061" customHeight="1" spans="1:9">
      <c r="A2061" s="3" t="str">
        <f t="shared" si="192"/>
        <v>0101</v>
      </c>
      <c r="B2061" s="3" t="s">
        <v>21</v>
      </c>
      <c r="C2061" s="3" t="str">
        <f>"杨琳"</f>
        <v>杨琳</v>
      </c>
      <c r="D2061" s="3" t="str">
        <f t="shared" si="196"/>
        <v>女</v>
      </c>
      <c r="E2061" s="3" t="str">
        <f>"2507017014"</f>
        <v>2507017014</v>
      </c>
      <c r="F2061" s="3" t="str">
        <f t="shared" si="195"/>
        <v>70</v>
      </c>
      <c r="G2061" s="4" t="str">
        <f>"14"</f>
        <v>14</v>
      </c>
      <c r="H2061" s="5">
        <v>68.4</v>
      </c>
      <c r="I2061" s="3"/>
    </row>
    <row r="2062" customHeight="1" spans="1:9">
      <c r="A2062" s="3" t="str">
        <f t="shared" si="192"/>
        <v>0101</v>
      </c>
      <c r="B2062" s="3" t="s">
        <v>21</v>
      </c>
      <c r="C2062" s="3" t="str">
        <f>"王晶"</f>
        <v>王晶</v>
      </c>
      <c r="D2062" s="3" t="str">
        <f t="shared" si="196"/>
        <v>女</v>
      </c>
      <c r="E2062" s="3" t="str">
        <f>"2507017015"</f>
        <v>2507017015</v>
      </c>
      <c r="F2062" s="3" t="str">
        <f t="shared" si="195"/>
        <v>70</v>
      </c>
      <c r="G2062" s="4" t="str">
        <f>"15"</f>
        <v>15</v>
      </c>
      <c r="H2062" s="5">
        <v>0</v>
      </c>
      <c r="I2062" s="3" t="s">
        <v>11</v>
      </c>
    </row>
    <row r="2063" customHeight="1" spans="1:9">
      <c r="A2063" s="3" t="str">
        <f t="shared" si="192"/>
        <v>0101</v>
      </c>
      <c r="B2063" s="3" t="s">
        <v>21</v>
      </c>
      <c r="C2063" s="3" t="str">
        <f>"王子欣"</f>
        <v>王子欣</v>
      </c>
      <c r="D2063" s="3" t="str">
        <f t="shared" si="196"/>
        <v>女</v>
      </c>
      <c r="E2063" s="3" t="str">
        <f>"2507017016"</f>
        <v>2507017016</v>
      </c>
      <c r="F2063" s="3" t="str">
        <f t="shared" si="195"/>
        <v>70</v>
      </c>
      <c r="G2063" s="4" t="str">
        <f>"16"</f>
        <v>16</v>
      </c>
      <c r="H2063" s="5">
        <v>73</v>
      </c>
      <c r="I2063" s="3"/>
    </row>
    <row r="2064" customHeight="1" spans="1:9">
      <c r="A2064" s="3" t="str">
        <f t="shared" si="192"/>
        <v>0101</v>
      </c>
      <c r="B2064" s="3" t="s">
        <v>21</v>
      </c>
      <c r="C2064" s="3" t="str">
        <f>"邢晶"</f>
        <v>邢晶</v>
      </c>
      <c r="D2064" s="3" t="str">
        <f t="shared" si="196"/>
        <v>女</v>
      </c>
      <c r="E2064" s="3" t="str">
        <f>"2507017017"</f>
        <v>2507017017</v>
      </c>
      <c r="F2064" s="3" t="str">
        <f t="shared" si="195"/>
        <v>70</v>
      </c>
      <c r="G2064" s="4" t="str">
        <f>"17"</f>
        <v>17</v>
      </c>
      <c r="H2064" s="5">
        <v>0</v>
      </c>
      <c r="I2064" s="3" t="s">
        <v>11</v>
      </c>
    </row>
    <row r="2065" customHeight="1" spans="1:9">
      <c r="A2065" s="3" t="str">
        <f t="shared" si="192"/>
        <v>0101</v>
      </c>
      <c r="B2065" s="3" t="s">
        <v>21</v>
      </c>
      <c r="C2065" s="3" t="str">
        <f>"王乾"</f>
        <v>王乾</v>
      </c>
      <c r="D2065" s="3" t="str">
        <f t="shared" si="196"/>
        <v>女</v>
      </c>
      <c r="E2065" s="3" t="str">
        <f>"2507017018"</f>
        <v>2507017018</v>
      </c>
      <c r="F2065" s="3" t="str">
        <f t="shared" si="195"/>
        <v>70</v>
      </c>
      <c r="G2065" s="4" t="str">
        <f>"18"</f>
        <v>18</v>
      </c>
      <c r="H2065" s="5">
        <v>81.8</v>
      </c>
      <c r="I2065" s="3"/>
    </row>
    <row r="2066" customHeight="1" spans="1:9">
      <c r="A2066" s="3" t="str">
        <f t="shared" si="192"/>
        <v>0101</v>
      </c>
      <c r="B2066" s="3" t="s">
        <v>21</v>
      </c>
      <c r="C2066" s="3" t="str">
        <f>"王志颖"</f>
        <v>王志颖</v>
      </c>
      <c r="D2066" s="3" t="str">
        <f t="shared" si="196"/>
        <v>女</v>
      </c>
      <c r="E2066" s="3" t="str">
        <f>"2507017019"</f>
        <v>2507017019</v>
      </c>
      <c r="F2066" s="3" t="str">
        <f t="shared" si="195"/>
        <v>70</v>
      </c>
      <c r="G2066" s="4" t="str">
        <f>"19"</f>
        <v>19</v>
      </c>
      <c r="H2066" s="5">
        <v>70.5</v>
      </c>
      <c r="I2066" s="3"/>
    </row>
    <row r="2067" customHeight="1" spans="1:9">
      <c r="A2067" s="3" t="str">
        <f t="shared" si="192"/>
        <v>0101</v>
      </c>
      <c r="B2067" s="3" t="s">
        <v>21</v>
      </c>
      <c r="C2067" s="3" t="str">
        <f>"宋紫藤"</f>
        <v>宋紫藤</v>
      </c>
      <c r="D2067" s="3" t="str">
        <f t="shared" si="196"/>
        <v>女</v>
      </c>
      <c r="E2067" s="3" t="str">
        <f>"2507017020"</f>
        <v>2507017020</v>
      </c>
      <c r="F2067" s="3" t="str">
        <f t="shared" si="195"/>
        <v>70</v>
      </c>
      <c r="G2067" s="4" t="str">
        <f>"20"</f>
        <v>20</v>
      </c>
      <c r="H2067" s="5">
        <v>76.5</v>
      </c>
      <c r="I2067" s="3"/>
    </row>
    <row r="2068" customHeight="1" spans="1:9">
      <c r="A2068" s="3" t="str">
        <f t="shared" si="192"/>
        <v>0101</v>
      </c>
      <c r="B2068" s="3" t="s">
        <v>21</v>
      </c>
      <c r="C2068" s="3" t="str">
        <f>"张念娜"</f>
        <v>张念娜</v>
      </c>
      <c r="D2068" s="3" t="str">
        <f t="shared" si="196"/>
        <v>女</v>
      </c>
      <c r="E2068" s="3" t="str">
        <f>"2507017021"</f>
        <v>2507017021</v>
      </c>
      <c r="F2068" s="3" t="str">
        <f t="shared" si="195"/>
        <v>70</v>
      </c>
      <c r="G2068" s="4" t="str">
        <f>"21"</f>
        <v>21</v>
      </c>
      <c r="H2068" s="5">
        <v>74.6</v>
      </c>
      <c r="I2068" s="3"/>
    </row>
    <row r="2069" customHeight="1" spans="1:9">
      <c r="A2069" s="3" t="str">
        <f t="shared" si="192"/>
        <v>0101</v>
      </c>
      <c r="B2069" s="3" t="s">
        <v>21</v>
      </c>
      <c r="C2069" s="3" t="str">
        <f>"刘仔康"</f>
        <v>刘仔康</v>
      </c>
      <c r="D2069" s="3" t="str">
        <f>"男"</f>
        <v>男</v>
      </c>
      <c r="E2069" s="3" t="str">
        <f>"2507017022"</f>
        <v>2507017022</v>
      </c>
      <c r="F2069" s="3" t="str">
        <f t="shared" si="195"/>
        <v>70</v>
      </c>
      <c r="G2069" s="4" t="str">
        <f>"22"</f>
        <v>22</v>
      </c>
      <c r="H2069" s="5">
        <v>52.2</v>
      </c>
      <c r="I2069" s="3"/>
    </row>
    <row r="2070" customHeight="1" spans="1:9">
      <c r="A2070" s="3" t="str">
        <f t="shared" si="192"/>
        <v>0101</v>
      </c>
      <c r="B2070" s="3" t="s">
        <v>21</v>
      </c>
      <c r="C2070" s="3" t="str">
        <f>"杨翠香"</f>
        <v>杨翠香</v>
      </c>
      <c r="D2070" s="3" t="str">
        <f t="shared" ref="D2070:D2079" si="197">"女"</f>
        <v>女</v>
      </c>
      <c r="E2070" s="3" t="str">
        <f>"2507017023"</f>
        <v>2507017023</v>
      </c>
      <c r="F2070" s="3" t="str">
        <f t="shared" si="195"/>
        <v>70</v>
      </c>
      <c r="G2070" s="4" t="str">
        <f>"23"</f>
        <v>23</v>
      </c>
      <c r="H2070" s="5">
        <v>0</v>
      </c>
      <c r="I2070" s="3" t="s">
        <v>11</v>
      </c>
    </row>
    <row r="2071" customHeight="1" spans="1:9">
      <c r="A2071" s="3" t="str">
        <f t="shared" si="192"/>
        <v>0101</v>
      </c>
      <c r="B2071" s="3" t="s">
        <v>21</v>
      </c>
      <c r="C2071" s="3" t="str">
        <f>"程真凤"</f>
        <v>程真凤</v>
      </c>
      <c r="D2071" s="3" t="str">
        <f t="shared" si="197"/>
        <v>女</v>
      </c>
      <c r="E2071" s="3" t="str">
        <f>"2507017024"</f>
        <v>2507017024</v>
      </c>
      <c r="F2071" s="3" t="str">
        <f t="shared" si="195"/>
        <v>70</v>
      </c>
      <c r="G2071" s="4" t="str">
        <f>"24"</f>
        <v>24</v>
      </c>
      <c r="H2071" s="5">
        <v>73</v>
      </c>
      <c r="I2071" s="3"/>
    </row>
    <row r="2072" customHeight="1" spans="1:9">
      <c r="A2072" s="3" t="str">
        <f t="shared" si="192"/>
        <v>0101</v>
      </c>
      <c r="B2072" s="3" t="s">
        <v>21</v>
      </c>
      <c r="C2072" s="3" t="str">
        <f>"刘冰茹"</f>
        <v>刘冰茹</v>
      </c>
      <c r="D2072" s="3" t="str">
        <f t="shared" si="197"/>
        <v>女</v>
      </c>
      <c r="E2072" s="3" t="str">
        <f>"2507017025"</f>
        <v>2507017025</v>
      </c>
      <c r="F2072" s="3" t="str">
        <f t="shared" si="195"/>
        <v>70</v>
      </c>
      <c r="G2072" s="4" t="str">
        <f>"25"</f>
        <v>25</v>
      </c>
      <c r="H2072" s="5">
        <v>72.1</v>
      </c>
      <c r="I2072" s="3"/>
    </row>
    <row r="2073" customHeight="1" spans="1:9">
      <c r="A2073" s="3" t="str">
        <f t="shared" si="192"/>
        <v>0101</v>
      </c>
      <c r="B2073" s="3" t="s">
        <v>21</v>
      </c>
      <c r="C2073" s="3" t="str">
        <f>"夏梦莹"</f>
        <v>夏梦莹</v>
      </c>
      <c r="D2073" s="3" t="str">
        <f t="shared" si="197"/>
        <v>女</v>
      </c>
      <c r="E2073" s="3" t="str">
        <f>"2507017026"</f>
        <v>2507017026</v>
      </c>
      <c r="F2073" s="3" t="str">
        <f t="shared" si="195"/>
        <v>70</v>
      </c>
      <c r="G2073" s="4" t="str">
        <f>"26"</f>
        <v>26</v>
      </c>
      <c r="H2073" s="5">
        <v>70.6</v>
      </c>
      <c r="I2073" s="3"/>
    </row>
    <row r="2074" customHeight="1" spans="1:9">
      <c r="A2074" s="3" t="str">
        <f t="shared" si="192"/>
        <v>0101</v>
      </c>
      <c r="B2074" s="3" t="s">
        <v>21</v>
      </c>
      <c r="C2074" s="3" t="str">
        <f>"陈冉"</f>
        <v>陈冉</v>
      </c>
      <c r="D2074" s="3" t="str">
        <f t="shared" si="197"/>
        <v>女</v>
      </c>
      <c r="E2074" s="3" t="str">
        <f>"2507017027"</f>
        <v>2507017027</v>
      </c>
      <c r="F2074" s="3" t="str">
        <f t="shared" si="195"/>
        <v>70</v>
      </c>
      <c r="G2074" s="4" t="str">
        <f>"27"</f>
        <v>27</v>
      </c>
      <c r="H2074" s="5">
        <v>72.2</v>
      </c>
      <c r="I2074" s="3"/>
    </row>
    <row r="2075" customHeight="1" spans="1:9">
      <c r="A2075" s="3" t="str">
        <f t="shared" si="192"/>
        <v>0101</v>
      </c>
      <c r="B2075" s="3" t="s">
        <v>21</v>
      </c>
      <c r="C2075" s="3" t="str">
        <f>"王晴"</f>
        <v>王晴</v>
      </c>
      <c r="D2075" s="3" t="str">
        <f t="shared" si="197"/>
        <v>女</v>
      </c>
      <c r="E2075" s="3" t="str">
        <f>"2507017028"</f>
        <v>2507017028</v>
      </c>
      <c r="F2075" s="3" t="str">
        <f t="shared" si="195"/>
        <v>70</v>
      </c>
      <c r="G2075" s="4" t="str">
        <f>"28"</f>
        <v>28</v>
      </c>
      <c r="H2075" s="5">
        <v>0</v>
      </c>
      <c r="I2075" s="3" t="s">
        <v>11</v>
      </c>
    </row>
    <row r="2076" customHeight="1" spans="1:9">
      <c r="A2076" s="3" t="str">
        <f t="shared" si="192"/>
        <v>0101</v>
      </c>
      <c r="B2076" s="3" t="s">
        <v>21</v>
      </c>
      <c r="C2076" s="3" t="str">
        <f>"张圆"</f>
        <v>张圆</v>
      </c>
      <c r="D2076" s="3" t="str">
        <f t="shared" si="197"/>
        <v>女</v>
      </c>
      <c r="E2076" s="3" t="str">
        <f>"2507017029"</f>
        <v>2507017029</v>
      </c>
      <c r="F2076" s="3" t="str">
        <f t="shared" si="195"/>
        <v>70</v>
      </c>
      <c r="G2076" s="4" t="str">
        <f>"29"</f>
        <v>29</v>
      </c>
      <c r="H2076" s="5">
        <v>82.2</v>
      </c>
      <c r="I2076" s="3"/>
    </row>
    <row r="2077" customHeight="1" spans="1:9">
      <c r="A2077" s="3" t="str">
        <f t="shared" si="192"/>
        <v>0101</v>
      </c>
      <c r="B2077" s="3" t="s">
        <v>21</v>
      </c>
      <c r="C2077" s="3" t="str">
        <f>"赵汉佳"</f>
        <v>赵汉佳</v>
      </c>
      <c r="D2077" s="3" t="str">
        <f t="shared" si="197"/>
        <v>女</v>
      </c>
      <c r="E2077" s="3" t="str">
        <f>"2507017030"</f>
        <v>2507017030</v>
      </c>
      <c r="F2077" s="3" t="str">
        <f t="shared" si="195"/>
        <v>70</v>
      </c>
      <c r="G2077" s="4" t="str">
        <f>"30"</f>
        <v>30</v>
      </c>
      <c r="H2077" s="5">
        <v>0</v>
      </c>
      <c r="I2077" s="3" t="s">
        <v>11</v>
      </c>
    </row>
    <row r="2078" customHeight="1" spans="1:9">
      <c r="A2078" s="3" t="str">
        <f t="shared" si="192"/>
        <v>0101</v>
      </c>
      <c r="B2078" s="3" t="s">
        <v>21</v>
      </c>
      <c r="C2078" s="3" t="str">
        <f>"庄雨婷"</f>
        <v>庄雨婷</v>
      </c>
      <c r="D2078" s="3" t="str">
        <f t="shared" si="197"/>
        <v>女</v>
      </c>
      <c r="E2078" s="3" t="str">
        <f>"2507017031"</f>
        <v>2507017031</v>
      </c>
      <c r="F2078" s="3" t="str">
        <f t="shared" si="195"/>
        <v>70</v>
      </c>
      <c r="G2078" s="4" t="str">
        <f>"31"</f>
        <v>31</v>
      </c>
      <c r="H2078" s="5">
        <v>80.6</v>
      </c>
      <c r="I2078" s="3"/>
    </row>
    <row r="2079" customHeight="1" spans="1:9">
      <c r="A2079" s="3" t="str">
        <f t="shared" si="192"/>
        <v>0101</v>
      </c>
      <c r="B2079" s="3" t="s">
        <v>21</v>
      </c>
      <c r="C2079" s="3" t="str">
        <f>"李紫薇"</f>
        <v>李紫薇</v>
      </c>
      <c r="D2079" s="3" t="str">
        <f t="shared" si="197"/>
        <v>女</v>
      </c>
      <c r="E2079" s="3" t="str">
        <f>"2507017101"</f>
        <v>2507017101</v>
      </c>
      <c r="F2079" s="3" t="str">
        <f t="shared" ref="F2079:F2109" si="198">"71"</f>
        <v>71</v>
      </c>
      <c r="G2079" s="4" t="str">
        <f>"01"</f>
        <v>01</v>
      </c>
      <c r="H2079" s="5">
        <v>0</v>
      </c>
      <c r="I2079" s="3" t="s">
        <v>11</v>
      </c>
    </row>
    <row r="2080" customHeight="1" spans="1:9">
      <c r="A2080" s="3" t="str">
        <f t="shared" si="192"/>
        <v>0101</v>
      </c>
      <c r="B2080" s="3" t="s">
        <v>21</v>
      </c>
      <c r="C2080" s="3" t="str">
        <f>"张安然"</f>
        <v>张安然</v>
      </c>
      <c r="D2080" s="3" t="str">
        <f>"男"</f>
        <v>男</v>
      </c>
      <c r="E2080" s="3" t="str">
        <f>"2507017102"</f>
        <v>2507017102</v>
      </c>
      <c r="F2080" s="3" t="str">
        <f t="shared" si="198"/>
        <v>71</v>
      </c>
      <c r="G2080" s="4" t="str">
        <f>"02"</f>
        <v>02</v>
      </c>
      <c r="H2080" s="5">
        <v>67.4</v>
      </c>
      <c r="I2080" s="3"/>
    </row>
    <row r="2081" customHeight="1" spans="1:9">
      <c r="A2081" s="3" t="str">
        <f t="shared" si="192"/>
        <v>0101</v>
      </c>
      <c r="B2081" s="3" t="s">
        <v>21</v>
      </c>
      <c r="C2081" s="3" t="str">
        <f>"潘晴"</f>
        <v>潘晴</v>
      </c>
      <c r="D2081" s="3" t="str">
        <f t="shared" ref="D2081:D2112" si="199">"女"</f>
        <v>女</v>
      </c>
      <c r="E2081" s="3" t="str">
        <f>"2507017103"</f>
        <v>2507017103</v>
      </c>
      <c r="F2081" s="3" t="str">
        <f t="shared" si="198"/>
        <v>71</v>
      </c>
      <c r="G2081" s="4" t="str">
        <f>"03"</f>
        <v>03</v>
      </c>
      <c r="H2081" s="5">
        <v>0</v>
      </c>
      <c r="I2081" s="3" t="s">
        <v>11</v>
      </c>
    </row>
    <row r="2082" customHeight="1" spans="1:9">
      <c r="A2082" s="3" t="str">
        <f t="shared" si="192"/>
        <v>0101</v>
      </c>
      <c r="B2082" s="3" t="s">
        <v>21</v>
      </c>
      <c r="C2082" s="3" t="str">
        <f>"叶利亚"</f>
        <v>叶利亚</v>
      </c>
      <c r="D2082" s="3" t="str">
        <f t="shared" si="199"/>
        <v>女</v>
      </c>
      <c r="E2082" s="3" t="str">
        <f>"2507017104"</f>
        <v>2507017104</v>
      </c>
      <c r="F2082" s="3" t="str">
        <f t="shared" si="198"/>
        <v>71</v>
      </c>
      <c r="G2082" s="4" t="str">
        <f>"04"</f>
        <v>04</v>
      </c>
      <c r="H2082" s="5">
        <v>0</v>
      </c>
      <c r="I2082" s="3" t="s">
        <v>11</v>
      </c>
    </row>
    <row r="2083" customHeight="1" spans="1:9">
      <c r="A2083" s="3" t="str">
        <f t="shared" si="192"/>
        <v>0101</v>
      </c>
      <c r="B2083" s="3" t="s">
        <v>21</v>
      </c>
      <c r="C2083" s="3" t="str">
        <f>"韩琦"</f>
        <v>韩琦</v>
      </c>
      <c r="D2083" s="3" t="str">
        <f t="shared" si="199"/>
        <v>女</v>
      </c>
      <c r="E2083" s="3" t="str">
        <f>"2507017105"</f>
        <v>2507017105</v>
      </c>
      <c r="F2083" s="3" t="str">
        <f t="shared" si="198"/>
        <v>71</v>
      </c>
      <c r="G2083" s="4" t="str">
        <f>"05"</f>
        <v>05</v>
      </c>
      <c r="H2083" s="5">
        <v>0</v>
      </c>
      <c r="I2083" s="3" t="s">
        <v>11</v>
      </c>
    </row>
    <row r="2084" customHeight="1" spans="1:9">
      <c r="A2084" s="3" t="str">
        <f t="shared" si="192"/>
        <v>0101</v>
      </c>
      <c r="B2084" s="3" t="s">
        <v>21</v>
      </c>
      <c r="C2084" s="3" t="str">
        <f>"孙睿羚"</f>
        <v>孙睿羚</v>
      </c>
      <c r="D2084" s="3" t="str">
        <f t="shared" si="199"/>
        <v>女</v>
      </c>
      <c r="E2084" s="3" t="str">
        <f>"2507017106"</f>
        <v>2507017106</v>
      </c>
      <c r="F2084" s="3" t="str">
        <f t="shared" si="198"/>
        <v>71</v>
      </c>
      <c r="G2084" s="4" t="str">
        <f>"06"</f>
        <v>06</v>
      </c>
      <c r="H2084" s="5">
        <v>70.5</v>
      </c>
      <c r="I2084" s="3"/>
    </row>
    <row r="2085" customHeight="1" spans="1:9">
      <c r="A2085" s="3" t="str">
        <f t="shared" si="192"/>
        <v>0101</v>
      </c>
      <c r="B2085" s="3" t="s">
        <v>21</v>
      </c>
      <c r="C2085" s="3" t="str">
        <f>"焦莫寒"</f>
        <v>焦莫寒</v>
      </c>
      <c r="D2085" s="3" t="str">
        <f t="shared" si="199"/>
        <v>女</v>
      </c>
      <c r="E2085" s="3" t="str">
        <f>"2507017107"</f>
        <v>2507017107</v>
      </c>
      <c r="F2085" s="3" t="str">
        <f t="shared" si="198"/>
        <v>71</v>
      </c>
      <c r="G2085" s="4" t="str">
        <f>"07"</f>
        <v>07</v>
      </c>
      <c r="H2085" s="5">
        <v>74.3</v>
      </c>
      <c r="I2085" s="3"/>
    </row>
    <row r="2086" customHeight="1" spans="1:9">
      <c r="A2086" s="3" t="str">
        <f t="shared" si="192"/>
        <v>0101</v>
      </c>
      <c r="B2086" s="3" t="s">
        <v>21</v>
      </c>
      <c r="C2086" s="3" t="str">
        <f>"刘晓雨"</f>
        <v>刘晓雨</v>
      </c>
      <c r="D2086" s="3" t="str">
        <f t="shared" si="199"/>
        <v>女</v>
      </c>
      <c r="E2086" s="3" t="str">
        <f>"2507017108"</f>
        <v>2507017108</v>
      </c>
      <c r="F2086" s="3" t="str">
        <f t="shared" si="198"/>
        <v>71</v>
      </c>
      <c r="G2086" s="4" t="str">
        <f>"08"</f>
        <v>08</v>
      </c>
      <c r="H2086" s="5">
        <v>0</v>
      </c>
      <c r="I2086" s="3" t="s">
        <v>11</v>
      </c>
    </row>
    <row r="2087" customHeight="1" spans="1:9">
      <c r="A2087" s="3" t="str">
        <f t="shared" si="192"/>
        <v>0101</v>
      </c>
      <c r="B2087" s="3" t="s">
        <v>21</v>
      </c>
      <c r="C2087" s="3" t="str">
        <f>"张婉婷"</f>
        <v>张婉婷</v>
      </c>
      <c r="D2087" s="3" t="str">
        <f t="shared" si="199"/>
        <v>女</v>
      </c>
      <c r="E2087" s="3" t="str">
        <f>"2507017109"</f>
        <v>2507017109</v>
      </c>
      <c r="F2087" s="3" t="str">
        <f t="shared" si="198"/>
        <v>71</v>
      </c>
      <c r="G2087" s="4" t="str">
        <f>"09"</f>
        <v>09</v>
      </c>
      <c r="H2087" s="5">
        <v>79.6</v>
      </c>
      <c r="I2087" s="3"/>
    </row>
    <row r="2088" customHeight="1" spans="1:9">
      <c r="A2088" s="3" t="str">
        <f t="shared" si="192"/>
        <v>0101</v>
      </c>
      <c r="B2088" s="3" t="s">
        <v>21</v>
      </c>
      <c r="C2088" s="3" t="str">
        <f>"姜茜"</f>
        <v>姜茜</v>
      </c>
      <c r="D2088" s="3" t="str">
        <f t="shared" si="199"/>
        <v>女</v>
      </c>
      <c r="E2088" s="3" t="str">
        <f>"2507017110"</f>
        <v>2507017110</v>
      </c>
      <c r="F2088" s="3" t="str">
        <f t="shared" si="198"/>
        <v>71</v>
      </c>
      <c r="G2088" s="4" t="str">
        <f>"10"</f>
        <v>10</v>
      </c>
      <c r="H2088" s="5">
        <v>70.2</v>
      </c>
      <c r="I2088" s="3"/>
    </row>
    <row r="2089" customHeight="1" spans="1:9">
      <c r="A2089" s="3" t="str">
        <f t="shared" si="192"/>
        <v>0101</v>
      </c>
      <c r="B2089" s="3" t="s">
        <v>21</v>
      </c>
      <c r="C2089" s="3" t="str">
        <f>"孙旗"</f>
        <v>孙旗</v>
      </c>
      <c r="D2089" s="3" t="str">
        <f t="shared" si="199"/>
        <v>女</v>
      </c>
      <c r="E2089" s="3" t="str">
        <f>"2507017111"</f>
        <v>2507017111</v>
      </c>
      <c r="F2089" s="3" t="str">
        <f t="shared" si="198"/>
        <v>71</v>
      </c>
      <c r="G2089" s="4" t="str">
        <f>"11"</f>
        <v>11</v>
      </c>
      <c r="H2089" s="5">
        <v>0</v>
      </c>
      <c r="I2089" s="3" t="s">
        <v>11</v>
      </c>
    </row>
    <row r="2090" customHeight="1" spans="1:9">
      <c r="A2090" s="3" t="str">
        <f t="shared" ref="A2090:A2109" si="200">"0101"</f>
        <v>0101</v>
      </c>
      <c r="B2090" s="3" t="s">
        <v>21</v>
      </c>
      <c r="C2090" s="3" t="str">
        <f>"秦兰淇"</f>
        <v>秦兰淇</v>
      </c>
      <c r="D2090" s="3" t="str">
        <f t="shared" si="199"/>
        <v>女</v>
      </c>
      <c r="E2090" s="3" t="str">
        <f>"2507017112"</f>
        <v>2507017112</v>
      </c>
      <c r="F2090" s="3" t="str">
        <f t="shared" si="198"/>
        <v>71</v>
      </c>
      <c r="G2090" s="4" t="str">
        <f>"12"</f>
        <v>12</v>
      </c>
      <c r="H2090" s="5">
        <v>77.6</v>
      </c>
      <c r="I2090" s="3"/>
    </row>
    <row r="2091" customHeight="1" spans="1:9">
      <c r="A2091" s="3" t="str">
        <f t="shared" si="200"/>
        <v>0101</v>
      </c>
      <c r="B2091" s="3" t="s">
        <v>21</v>
      </c>
      <c r="C2091" s="3" t="str">
        <f>"侯贞"</f>
        <v>侯贞</v>
      </c>
      <c r="D2091" s="3" t="str">
        <f t="shared" si="199"/>
        <v>女</v>
      </c>
      <c r="E2091" s="3" t="str">
        <f>"2507017113"</f>
        <v>2507017113</v>
      </c>
      <c r="F2091" s="3" t="str">
        <f t="shared" si="198"/>
        <v>71</v>
      </c>
      <c r="G2091" s="4" t="str">
        <f>"13"</f>
        <v>13</v>
      </c>
      <c r="H2091" s="5">
        <v>0</v>
      </c>
      <c r="I2091" s="3" t="s">
        <v>11</v>
      </c>
    </row>
    <row r="2092" customHeight="1" spans="1:9">
      <c r="A2092" s="3" t="str">
        <f t="shared" si="200"/>
        <v>0101</v>
      </c>
      <c r="B2092" s="3" t="s">
        <v>21</v>
      </c>
      <c r="C2092" s="3" t="str">
        <f>"杨肇妤"</f>
        <v>杨肇妤</v>
      </c>
      <c r="D2092" s="3" t="str">
        <f t="shared" si="199"/>
        <v>女</v>
      </c>
      <c r="E2092" s="3" t="str">
        <f>"2507017114"</f>
        <v>2507017114</v>
      </c>
      <c r="F2092" s="3" t="str">
        <f t="shared" si="198"/>
        <v>71</v>
      </c>
      <c r="G2092" s="4" t="str">
        <f>"14"</f>
        <v>14</v>
      </c>
      <c r="H2092" s="5">
        <v>68.8</v>
      </c>
      <c r="I2092" s="3"/>
    </row>
    <row r="2093" customHeight="1" spans="1:9">
      <c r="A2093" s="3" t="str">
        <f t="shared" si="200"/>
        <v>0101</v>
      </c>
      <c r="B2093" s="3" t="s">
        <v>21</v>
      </c>
      <c r="C2093" s="3" t="str">
        <f>"张悦"</f>
        <v>张悦</v>
      </c>
      <c r="D2093" s="3" t="str">
        <f t="shared" si="199"/>
        <v>女</v>
      </c>
      <c r="E2093" s="3" t="str">
        <f>"2507017115"</f>
        <v>2507017115</v>
      </c>
      <c r="F2093" s="3" t="str">
        <f t="shared" si="198"/>
        <v>71</v>
      </c>
      <c r="G2093" s="4" t="str">
        <f>"15"</f>
        <v>15</v>
      </c>
      <c r="H2093" s="5">
        <v>68.7</v>
      </c>
      <c r="I2093" s="3"/>
    </row>
    <row r="2094" customHeight="1" spans="1:9">
      <c r="A2094" s="3" t="str">
        <f t="shared" si="200"/>
        <v>0101</v>
      </c>
      <c r="B2094" s="3" t="s">
        <v>21</v>
      </c>
      <c r="C2094" s="3" t="str">
        <f>"李英"</f>
        <v>李英</v>
      </c>
      <c r="D2094" s="3" t="str">
        <f t="shared" si="199"/>
        <v>女</v>
      </c>
      <c r="E2094" s="3" t="str">
        <f>"2507017116"</f>
        <v>2507017116</v>
      </c>
      <c r="F2094" s="3" t="str">
        <f t="shared" si="198"/>
        <v>71</v>
      </c>
      <c r="G2094" s="4" t="str">
        <f>"16"</f>
        <v>16</v>
      </c>
      <c r="H2094" s="5">
        <v>64.6</v>
      </c>
      <c r="I2094" s="3"/>
    </row>
    <row r="2095" customHeight="1" spans="1:9">
      <c r="A2095" s="3" t="str">
        <f t="shared" si="200"/>
        <v>0101</v>
      </c>
      <c r="B2095" s="3" t="s">
        <v>21</v>
      </c>
      <c r="C2095" s="3" t="str">
        <f>"凤雪琼"</f>
        <v>凤雪琼</v>
      </c>
      <c r="D2095" s="3" t="str">
        <f t="shared" si="199"/>
        <v>女</v>
      </c>
      <c r="E2095" s="3" t="str">
        <f>"2507017117"</f>
        <v>2507017117</v>
      </c>
      <c r="F2095" s="3" t="str">
        <f t="shared" si="198"/>
        <v>71</v>
      </c>
      <c r="G2095" s="4" t="str">
        <f>"17"</f>
        <v>17</v>
      </c>
      <c r="H2095" s="5">
        <v>71</v>
      </c>
      <c r="I2095" s="3"/>
    </row>
    <row r="2096" customHeight="1" spans="1:9">
      <c r="A2096" s="3" t="str">
        <f t="shared" si="200"/>
        <v>0101</v>
      </c>
      <c r="B2096" s="3" t="s">
        <v>21</v>
      </c>
      <c r="C2096" s="3" t="str">
        <f>"徐婧月"</f>
        <v>徐婧月</v>
      </c>
      <c r="D2096" s="3" t="str">
        <f t="shared" si="199"/>
        <v>女</v>
      </c>
      <c r="E2096" s="3" t="str">
        <f>"2507017118"</f>
        <v>2507017118</v>
      </c>
      <c r="F2096" s="3" t="str">
        <f t="shared" si="198"/>
        <v>71</v>
      </c>
      <c r="G2096" s="4" t="str">
        <f>"18"</f>
        <v>18</v>
      </c>
      <c r="H2096" s="5">
        <v>0</v>
      </c>
      <c r="I2096" s="3" t="s">
        <v>11</v>
      </c>
    </row>
    <row r="2097" customHeight="1" spans="1:9">
      <c r="A2097" s="3" t="str">
        <f t="shared" si="200"/>
        <v>0101</v>
      </c>
      <c r="B2097" s="3" t="s">
        <v>21</v>
      </c>
      <c r="C2097" s="3" t="str">
        <f>"蒋佳涵"</f>
        <v>蒋佳涵</v>
      </c>
      <c r="D2097" s="3" t="str">
        <f t="shared" si="199"/>
        <v>女</v>
      </c>
      <c r="E2097" s="3" t="str">
        <f>"2507017119"</f>
        <v>2507017119</v>
      </c>
      <c r="F2097" s="3" t="str">
        <f t="shared" si="198"/>
        <v>71</v>
      </c>
      <c r="G2097" s="4" t="str">
        <f>"19"</f>
        <v>19</v>
      </c>
      <c r="H2097" s="5">
        <v>70.8</v>
      </c>
      <c r="I2097" s="3"/>
    </row>
    <row r="2098" customHeight="1" spans="1:9">
      <c r="A2098" s="3" t="str">
        <f t="shared" si="200"/>
        <v>0101</v>
      </c>
      <c r="B2098" s="3" t="s">
        <v>21</v>
      </c>
      <c r="C2098" s="3" t="str">
        <f>"熊迪"</f>
        <v>熊迪</v>
      </c>
      <c r="D2098" s="3" t="str">
        <f t="shared" si="199"/>
        <v>女</v>
      </c>
      <c r="E2098" s="3" t="str">
        <f>"2507017120"</f>
        <v>2507017120</v>
      </c>
      <c r="F2098" s="3" t="str">
        <f t="shared" si="198"/>
        <v>71</v>
      </c>
      <c r="G2098" s="4" t="str">
        <f>"20"</f>
        <v>20</v>
      </c>
      <c r="H2098" s="5">
        <v>69.1</v>
      </c>
      <c r="I2098" s="3"/>
    </row>
    <row r="2099" customHeight="1" spans="1:9">
      <c r="A2099" s="3" t="str">
        <f t="shared" si="200"/>
        <v>0101</v>
      </c>
      <c r="B2099" s="3" t="s">
        <v>21</v>
      </c>
      <c r="C2099" s="3" t="str">
        <f>"金凤"</f>
        <v>金凤</v>
      </c>
      <c r="D2099" s="3" t="str">
        <f t="shared" si="199"/>
        <v>女</v>
      </c>
      <c r="E2099" s="3" t="str">
        <f>"2507017121"</f>
        <v>2507017121</v>
      </c>
      <c r="F2099" s="3" t="str">
        <f t="shared" si="198"/>
        <v>71</v>
      </c>
      <c r="G2099" s="4" t="str">
        <f>"21"</f>
        <v>21</v>
      </c>
      <c r="H2099" s="5">
        <v>0</v>
      </c>
      <c r="I2099" s="3" t="s">
        <v>11</v>
      </c>
    </row>
    <row r="2100" customHeight="1" spans="1:9">
      <c r="A2100" s="3" t="str">
        <f t="shared" si="200"/>
        <v>0101</v>
      </c>
      <c r="B2100" s="3" t="s">
        <v>21</v>
      </c>
      <c r="C2100" s="3" t="str">
        <f>"王纯纯"</f>
        <v>王纯纯</v>
      </c>
      <c r="D2100" s="3" t="str">
        <f t="shared" si="199"/>
        <v>女</v>
      </c>
      <c r="E2100" s="3" t="str">
        <f>"2507017122"</f>
        <v>2507017122</v>
      </c>
      <c r="F2100" s="3" t="str">
        <f t="shared" si="198"/>
        <v>71</v>
      </c>
      <c r="G2100" s="4" t="str">
        <f>"22"</f>
        <v>22</v>
      </c>
      <c r="H2100" s="5">
        <v>81.1</v>
      </c>
      <c r="I2100" s="3"/>
    </row>
    <row r="2101" customHeight="1" spans="1:9">
      <c r="A2101" s="3" t="str">
        <f t="shared" si="200"/>
        <v>0101</v>
      </c>
      <c r="B2101" s="3" t="s">
        <v>21</v>
      </c>
      <c r="C2101" s="3" t="str">
        <f>"于雪"</f>
        <v>于雪</v>
      </c>
      <c r="D2101" s="3" t="str">
        <f t="shared" si="199"/>
        <v>女</v>
      </c>
      <c r="E2101" s="3" t="str">
        <f>"2507017123"</f>
        <v>2507017123</v>
      </c>
      <c r="F2101" s="3" t="str">
        <f t="shared" si="198"/>
        <v>71</v>
      </c>
      <c r="G2101" s="4" t="str">
        <f>"23"</f>
        <v>23</v>
      </c>
      <c r="H2101" s="5">
        <v>0</v>
      </c>
      <c r="I2101" s="3" t="s">
        <v>11</v>
      </c>
    </row>
    <row r="2102" customHeight="1" spans="1:9">
      <c r="A2102" s="3" t="str">
        <f t="shared" si="200"/>
        <v>0101</v>
      </c>
      <c r="B2102" s="3" t="s">
        <v>21</v>
      </c>
      <c r="C2102" s="3" t="str">
        <f>"陈星羽"</f>
        <v>陈星羽</v>
      </c>
      <c r="D2102" s="3" t="str">
        <f t="shared" si="199"/>
        <v>女</v>
      </c>
      <c r="E2102" s="3" t="str">
        <f>"2507017124"</f>
        <v>2507017124</v>
      </c>
      <c r="F2102" s="3" t="str">
        <f t="shared" si="198"/>
        <v>71</v>
      </c>
      <c r="G2102" s="4" t="str">
        <f>"24"</f>
        <v>24</v>
      </c>
      <c r="H2102" s="5">
        <v>84.1</v>
      </c>
      <c r="I2102" s="3"/>
    </row>
    <row r="2103" customHeight="1" spans="1:9">
      <c r="A2103" s="3" t="str">
        <f t="shared" si="200"/>
        <v>0101</v>
      </c>
      <c r="B2103" s="3" t="s">
        <v>21</v>
      </c>
      <c r="C2103" s="3" t="str">
        <f>"刘可"</f>
        <v>刘可</v>
      </c>
      <c r="D2103" s="3" t="str">
        <f t="shared" si="199"/>
        <v>女</v>
      </c>
      <c r="E2103" s="3" t="str">
        <f>"2507017125"</f>
        <v>2507017125</v>
      </c>
      <c r="F2103" s="3" t="str">
        <f t="shared" si="198"/>
        <v>71</v>
      </c>
      <c r="G2103" s="4" t="str">
        <f>"25"</f>
        <v>25</v>
      </c>
      <c r="H2103" s="5">
        <v>64.6</v>
      </c>
      <c r="I2103" s="3"/>
    </row>
    <row r="2104" customHeight="1" spans="1:9">
      <c r="A2104" s="3" t="str">
        <f t="shared" si="200"/>
        <v>0101</v>
      </c>
      <c r="B2104" s="3" t="s">
        <v>21</v>
      </c>
      <c r="C2104" s="3" t="str">
        <f>"王雪纯"</f>
        <v>王雪纯</v>
      </c>
      <c r="D2104" s="3" t="str">
        <f t="shared" si="199"/>
        <v>女</v>
      </c>
      <c r="E2104" s="3" t="str">
        <f>"2507017126"</f>
        <v>2507017126</v>
      </c>
      <c r="F2104" s="3" t="str">
        <f t="shared" si="198"/>
        <v>71</v>
      </c>
      <c r="G2104" s="4" t="str">
        <f>"26"</f>
        <v>26</v>
      </c>
      <c r="H2104" s="5">
        <v>71.5</v>
      </c>
      <c r="I2104" s="3"/>
    </row>
    <row r="2105" customHeight="1" spans="1:9">
      <c r="A2105" s="3" t="str">
        <f t="shared" si="200"/>
        <v>0101</v>
      </c>
      <c r="B2105" s="3" t="s">
        <v>21</v>
      </c>
      <c r="C2105" s="3" t="str">
        <f>"董宇恒"</f>
        <v>董宇恒</v>
      </c>
      <c r="D2105" s="3" t="str">
        <f t="shared" si="199"/>
        <v>女</v>
      </c>
      <c r="E2105" s="3" t="str">
        <f>"2507017127"</f>
        <v>2507017127</v>
      </c>
      <c r="F2105" s="3" t="str">
        <f t="shared" si="198"/>
        <v>71</v>
      </c>
      <c r="G2105" s="4" t="str">
        <f>"27"</f>
        <v>27</v>
      </c>
      <c r="H2105" s="5">
        <v>0</v>
      </c>
      <c r="I2105" s="3" t="s">
        <v>11</v>
      </c>
    </row>
    <row r="2106" customHeight="1" spans="1:9">
      <c r="A2106" s="3" t="str">
        <f t="shared" si="200"/>
        <v>0101</v>
      </c>
      <c r="B2106" s="3" t="s">
        <v>21</v>
      </c>
      <c r="C2106" s="3" t="str">
        <f>"衡文静"</f>
        <v>衡文静</v>
      </c>
      <c r="D2106" s="3" t="str">
        <f t="shared" si="199"/>
        <v>女</v>
      </c>
      <c r="E2106" s="3" t="str">
        <f>"2507017128"</f>
        <v>2507017128</v>
      </c>
      <c r="F2106" s="3" t="str">
        <f t="shared" si="198"/>
        <v>71</v>
      </c>
      <c r="G2106" s="4" t="str">
        <f>"28"</f>
        <v>28</v>
      </c>
      <c r="H2106" s="5">
        <v>75.4</v>
      </c>
      <c r="I2106" s="3"/>
    </row>
    <row r="2107" customHeight="1" spans="1:9">
      <c r="A2107" s="3" t="str">
        <f t="shared" si="200"/>
        <v>0101</v>
      </c>
      <c r="B2107" s="3" t="s">
        <v>21</v>
      </c>
      <c r="C2107" s="3" t="str">
        <f>"李宇轩 "</f>
        <v>李宇轩 </v>
      </c>
      <c r="D2107" s="3" t="str">
        <f t="shared" si="199"/>
        <v>女</v>
      </c>
      <c r="E2107" s="3" t="str">
        <f>"2507017129"</f>
        <v>2507017129</v>
      </c>
      <c r="F2107" s="3" t="str">
        <f t="shared" si="198"/>
        <v>71</v>
      </c>
      <c r="G2107" s="4" t="str">
        <f>"29"</f>
        <v>29</v>
      </c>
      <c r="H2107" s="5">
        <v>79.2</v>
      </c>
      <c r="I2107" s="3"/>
    </row>
    <row r="2108" customHeight="1" spans="1:9">
      <c r="A2108" s="3" t="str">
        <f t="shared" si="200"/>
        <v>0101</v>
      </c>
      <c r="B2108" s="3" t="s">
        <v>21</v>
      </c>
      <c r="C2108" s="3" t="str">
        <f>"于梦"</f>
        <v>于梦</v>
      </c>
      <c r="D2108" s="3" t="str">
        <f t="shared" si="199"/>
        <v>女</v>
      </c>
      <c r="E2108" s="3" t="str">
        <f>"2507017130"</f>
        <v>2507017130</v>
      </c>
      <c r="F2108" s="3" t="str">
        <f t="shared" si="198"/>
        <v>71</v>
      </c>
      <c r="G2108" s="4" t="str">
        <f>"30"</f>
        <v>30</v>
      </c>
      <c r="H2108" s="5">
        <v>63.9</v>
      </c>
      <c r="I2108" s="3"/>
    </row>
    <row r="2109" customHeight="1" spans="1:9">
      <c r="A2109" s="3" t="str">
        <f t="shared" si="200"/>
        <v>0101</v>
      </c>
      <c r="B2109" s="3" t="s">
        <v>21</v>
      </c>
      <c r="C2109" s="3" t="str">
        <f>"黄博"</f>
        <v>黄博</v>
      </c>
      <c r="D2109" s="3" t="str">
        <f t="shared" si="199"/>
        <v>女</v>
      </c>
      <c r="E2109" s="3" t="str">
        <f>"2507017131"</f>
        <v>2507017131</v>
      </c>
      <c r="F2109" s="3" t="str">
        <f t="shared" si="198"/>
        <v>71</v>
      </c>
      <c r="G2109" s="4" t="str">
        <f>"31"</f>
        <v>31</v>
      </c>
      <c r="H2109" s="5">
        <v>77.7</v>
      </c>
      <c r="I2109" s="3"/>
    </row>
    <row r="2110" customHeight="1" spans="1:9">
      <c r="A2110" s="3" t="str">
        <f t="shared" ref="A2110:A2173" si="201">"0107"</f>
        <v>0107</v>
      </c>
      <c r="B2110" s="3" t="s">
        <v>22</v>
      </c>
      <c r="C2110" s="3" t="str">
        <f>"董淑娟"</f>
        <v>董淑娟</v>
      </c>
      <c r="D2110" s="3" t="str">
        <f t="shared" si="199"/>
        <v>女</v>
      </c>
      <c r="E2110" s="3" t="str">
        <f>"2507017201"</f>
        <v>2507017201</v>
      </c>
      <c r="F2110" s="3" t="str">
        <f t="shared" ref="F2110:F2139" si="202">"72"</f>
        <v>72</v>
      </c>
      <c r="G2110" s="4" t="str">
        <f>"01"</f>
        <v>01</v>
      </c>
      <c r="H2110" s="5">
        <v>80.4</v>
      </c>
      <c r="I2110" s="3"/>
    </row>
    <row r="2111" customHeight="1" spans="1:9">
      <c r="A2111" s="3" t="str">
        <f t="shared" si="201"/>
        <v>0107</v>
      </c>
      <c r="B2111" s="3" t="s">
        <v>22</v>
      </c>
      <c r="C2111" s="3" t="str">
        <f>"黄馨贤"</f>
        <v>黄馨贤</v>
      </c>
      <c r="D2111" s="3" t="str">
        <f t="shared" si="199"/>
        <v>女</v>
      </c>
      <c r="E2111" s="3" t="str">
        <f>"2507017202"</f>
        <v>2507017202</v>
      </c>
      <c r="F2111" s="3" t="str">
        <f t="shared" si="202"/>
        <v>72</v>
      </c>
      <c r="G2111" s="4" t="str">
        <f>"02"</f>
        <v>02</v>
      </c>
      <c r="H2111" s="5">
        <v>0</v>
      </c>
      <c r="I2111" s="3" t="s">
        <v>11</v>
      </c>
    </row>
    <row r="2112" customHeight="1" spans="1:9">
      <c r="A2112" s="3" t="str">
        <f t="shared" si="201"/>
        <v>0107</v>
      </c>
      <c r="B2112" s="3" t="s">
        <v>22</v>
      </c>
      <c r="C2112" s="3" t="str">
        <f>"邓贞钰"</f>
        <v>邓贞钰</v>
      </c>
      <c r="D2112" s="3" t="str">
        <f t="shared" si="199"/>
        <v>女</v>
      </c>
      <c r="E2112" s="3" t="str">
        <f>"2507017203"</f>
        <v>2507017203</v>
      </c>
      <c r="F2112" s="3" t="str">
        <f t="shared" si="202"/>
        <v>72</v>
      </c>
      <c r="G2112" s="4" t="str">
        <f>"03"</f>
        <v>03</v>
      </c>
      <c r="H2112" s="5">
        <v>74</v>
      </c>
      <c r="I2112" s="3"/>
    </row>
    <row r="2113" customHeight="1" spans="1:9">
      <c r="A2113" s="3" t="str">
        <f t="shared" si="201"/>
        <v>0107</v>
      </c>
      <c r="B2113" s="3" t="s">
        <v>22</v>
      </c>
      <c r="C2113" s="3" t="str">
        <f>"张文峰"</f>
        <v>张文峰</v>
      </c>
      <c r="D2113" s="3" t="str">
        <f>"男"</f>
        <v>男</v>
      </c>
      <c r="E2113" s="3" t="str">
        <f>"2507017204"</f>
        <v>2507017204</v>
      </c>
      <c r="F2113" s="3" t="str">
        <f t="shared" si="202"/>
        <v>72</v>
      </c>
      <c r="G2113" s="4" t="str">
        <f>"04"</f>
        <v>04</v>
      </c>
      <c r="H2113" s="5">
        <v>84.3</v>
      </c>
      <c r="I2113" s="3"/>
    </row>
    <row r="2114" customHeight="1" spans="1:9">
      <c r="A2114" s="3" t="str">
        <f t="shared" si="201"/>
        <v>0107</v>
      </c>
      <c r="B2114" s="3" t="s">
        <v>22</v>
      </c>
      <c r="C2114" s="3" t="str">
        <f>"束雨露"</f>
        <v>束雨露</v>
      </c>
      <c r="D2114" s="3" t="str">
        <f t="shared" ref="D2114:D2120" si="203">"女"</f>
        <v>女</v>
      </c>
      <c r="E2114" s="3" t="str">
        <f>"2507017205"</f>
        <v>2507017205</v>
      </c>
      <c r="F2114" s="3" t="str">
        <f t="shared" si="202"/>
        <v>72</v>
      </c>
      <c r="G2114" s="4" t="str">
        <f>"05"</f>
        <v>05</v>
      </c>
      <c r="H2114" s="5">
        <v>0</v>
      </c>
      <c r="I2114" s="3" t="s">
        <v>11</v>
      </c>
    </row>
    <row r="2115" customHeight="1" spans="1:9">
      <c r="A2115" s="3" t="str">
        <f t="shared" si="201"/>
        <v>0107</v>
      </c>
      <c r="B2115" s="3" t="s">
        <v>22</v>
      </c>
      <c r="C2115" s="3" t="str">
        <f>"李姝蕾"</f>
        <v>李姝蕾</v>
      </c>
      <c r="D2115" s="3" t="str">
        <f t="shared" si="203"/>
        <v>女</v>
      </c>
      <c r="E2115" s="3" t="str">
        <f>"2507017206"</f>
        <v>2507017206</v>
      </c>
      <c r="F2115" s="3" t="str">
        <f t="shared" si="202"/>
        <v>72</v>
      </c>
      <c r="G2115" s="4" t="str">
        <f>"06"</f>
        <v>06</v>
      </c>
      <c r="H2115" s="5">
        <v>81.2</v>
      </c>
      <c r="I2115" s="3"/>
    </row>
    <row r="2116" customHeight="1" spans="1:9">
      <c r="A2116" s="3" t="str">
        <f t="shared" si="201"/>
        <v>0107</v>
      </c>
      <c r="B2116" s="3" t="s">
        <v>22</v>
      </c>
      <c r="C2116" s="3" t="str">
        <f>"陈洁茹"</f>
        <v>陈洁茹</v>
      </c>
      <c r="D2116" s="3" t="str">
        <f t="shared" si="203"/>
        <v>女</v>
      </c>
      <c r="E2116" s="3" t="str">
        <f>"2507017207"</f>
        <v>2507017207</v>
      </c>
      <c r="F2116" s="3" t="str">
        <f t="shared" si="202"/>
        <v>72</v>
      </c>
      <c r="G2116" s="4" t="str">
        <f>"07"</f>
        <v>07</v>
      </c>
      <c r="H2116" s="5">
        <v>56.6</v>
      </c>
      <c r="I2116" s="3"/>
    </row>
    <row r="2117" customHeight="1" spans="1:9">
      <c r="A2117" s="3" t="str">
        <f t="shared" si="201"/>
        <v>0107</v>
      </c>
      <c r="B2117" s="3" t="s">
        <v>22</v>
      </c>
      <c r="C2117" s="3" t="str">
        <f>"侯婷婷"</f>
        <v>侯婷婷</v>
      </c>
      <c r="D2117" s="3" t="str">
        <f t="shared" si="203"/>
        <v>女</v>
      </c>
      <c r="E2117" s="3" t="str">
        <f>"2507017208"</f>
        <v>2507017208</v>
      </c>
      <c r="F2117" s="3" t="str">
        <f t="shared" si="202"/>
        <v>72</v>
      </c>
      <c r="G2117" s="4" t="str">
        <f>"08"</f>
        <v>08</v>
      </c>
      <c r="H2117" s="5">
        <v>0</v>
      </c>
      <c r="I2117" s="3" t="s">
        <v>11</v>
      </c>
    </row>
    <row r="2118" customHeight="1" spans="1:9">
      <c r="A2118" s="3" t="str">
        <f t="shared" si="201"/>
        <v>0107</v>
      </c>
      <c r="B2118" s="3" t="s">
        <v>22</v>
      </c>
      <c r="C2118" s="3" t="str">
        <f>"王亚茹"</f>
        <v>王亚茹</v>
      </c>
      <c r="D2118" s="3" t="str">
        <f t="shared" si="203"/>
        <v>女</v>
      </c>
      <c r="E2118" s="3" t="str">
        <f>"2507017209"</f>
        <v>2507017209</v>
      </c>
      <c r="F2118" s="3" t="str">
        <f t="shared" si="202"/>
        <v>72</v>
      </c>
      <c r="G2118" s="4" t="str">
        <f>"09"</f>
        <v>09</v>
      </c>
      <c r="H2118" s="5">
        <v>69.6</v>
      </c>
      <c r="I2118" s="3"/>
    </row>
    <row r="2119" customHeight="1" spans="1:9">
      <c r="A2119" s="3" t="str">
        <f t="shared" si="201"/>
        <v>0107</v>
      </c>
      <c r="B2119" s="3" t="s">
        <v>22</v>
      </c>
      <c r="C2119" s="3" t="str">
        <f>"董艺"</f>
        <v>董艺</v>
      </c>
      <c r="D2119" s="3" t="str">
        <f t="shared" si="203"/>
        <v>女</v>
      </c>
      <c r="E2119" s="3" t="str">
        <f>"2507017210"</f>
        <v>2507017210</v>
      </c>
      <c r="F2119" s="3" t="str">
        <f t="shared" si="202"/>
        <v>72</v>
      </c>
      <c r="G2119" s="4" t="str">
        <f>"10"</f>
        <v>10</v>
      </c>
      <c r="H2119" s="5">
        <v>72.1</v>
      </c>
      <c r="I2119" s="3"/>
    </row>
    <row r="2120" customHeight="1" spans="1:9">
      <c r="A2120" s="3" t="str">
        <f t="shared" si="201"/>
        <v>0107</v>
      </c>
      <c r="B2120" s="3" t="s">
        <v>22</v>
      </c>
      <c r="C2120" s="3" t="str">
        <f>"徐翃宇"</f>
        <v>徐翃宇</v>
      </c>
      <c r="D2120" s="3" t="str">
        <f t="shared" si="203"/>
        <v>女</v>
      </c>
      <c r="E2120" s="3" t="str">
        <f>"2507017211"</f>
        <v>2507017211</v>
      </c>
      <c r="F2120" s="3" t="str">
        <f t="shared" si="202"/>
        <v>72</v>
      </c>
      <c r="G2120" s="4" t="str">
        <f>"11"</f>
        <v>11</v>
      </c>
      <c r="H2120" s="5">
        <v>0</v>
      </c>
      <c r="I2120" s="3" t="s">
        <v>11</v>
      </c>
    </row>
    <row r="2121" customHeight="1" spans="1:9">
      <c r="A2121" s="3" t="str">
        <f t="shared" si="201"/>
        <v>0107</v>
      </c>
      <c r="B2121" s="3" t="s">
        <v>22</v>
      </c>
      <c r="C2121" s="3" t="str">
        <f>"封培荣"</f>
        <v>封培荣</v>
      </c>
      <c r="D2121" s="3" t="str">
        <f>"男"</f>
        <v>男</v>
      </c>
      <c r="E2121" s="3" t="str">
        <f>"2507017212"</f>
        <v>2507017212</v>
      </c>
      <c r="F2121" s="3" t="str">
        <f t="shared" si="202"/>
        <v>72</v>
      </c>
      <c r="G2121" s="4" t="str">
        <f>"12"</f>
        <v>12</v>
      </c>
      <c r="H2121" s="5">
        <v>0</v>
      </c>
      <c r="I2121" s="3" t="s">
        <v>11</v>
      </c>
    </row>
    <row r="2122" customHeight="1" spans="1:9">
      <c r="A2122" s="3" t="str">
        <f t="shared" si="201"/>
        <v>0107</v>
      </c>
      <c r="B2122" s="3" t="s">
        <v>22</v>
      </c>
      <c r="C2122" s="3" t="str">
        <f>"龙厚兵"</f>
        <v>龙厚兵</v>
      </c>
      <c r="D2122" s="3" t="str">
        <f>"男"</f>
        <v>男</v>
      </c>
      <c r="E2122" s="3" t="str">
        <f>"2507017213"</f>
        <v>2507017213</v>
      </c>
      <c r="F2122" s="3" t="str">
        <f t="shared" si="202"/>
        <v>72</v>
      </c>
      <c r="G2122" s="4" t="str">
        <f>"13"</f>
        <v>13</v>
      </c>
      <c r="H2122" s="5">
        <v>71.3</v>
      </c>
      <c r="I2122" s="3"/>
    </row>
    <row r="2123" customHeight="1" spans="1:9">
      <c r="A2123" s="3" t="str">
        <f t="shared" si="201"/>
        <v>0107</v>
      </c>
      <c r="B2123" s="3" t="s">
        <v>22</v>
      </c>
      <c r="C2123" s="3" t="str">
        <f>"曹媛"</f>
        <v>曹媛</v>
      </c>
      <c r="D2123" s="3" t="str">
        <f>"女"</f>
        <v>女</v>
      </c>
      <c r="E2123" s="3" t="str">
        <f>"2507017214"</f>
        <v>2507017214</v>
      </c>
      <c r="F2123" s="3" t="str">
        <f t="shared" si="202"/>
        <v>72</v>
      </c>
      <c r="G2123" s="4" t="str">
        <f>"14"</f>
        <v>14</v>
      </c>
      <c r="H2123" s="5">
        <v>78.6</v>
      </c>
      <c r="I2123" s="3"/>
    </row>
    <row r="2124" customHeight="1" spans="1:9">
      <c r="A2124" s="3" t="str">
        <f t="shared" si="201"/>
        <v>0107</v>
      </c>
      <c r="B2124" s="3" t="s">
        <v>22</v>
      </c>
      <c r="C2124" s="3" t="str">
        <f>"王梓凡"</f>
        <v>王梓凡</v>
      </c>
      <c r="D2124" s="3" t="str">
        <f>"男"</f>
        <v>男</v>
      </c>
      <c r="E2124" s="3" t="str">
        <f>"2507017215"</f>
        <v>2507017215</v>
      </c>
      <c r="F2124" s="3" t="str">
        <f t="shared" si="202"/>
        <v>72</v>
      </c>
      <c r="G2124" s="4" t="str">
        <f>"15"</f>
        <v>15</v>
      </c>
      <c r="H2124" s="5">
        <v>0</v>
      </c>
      <c r="I2124" s="3" t="s">
        <v>11</v>
      </c>
    </row>
    <row r="2125" customHeight="1" spans="1:9">
      <c r="A2125" s="3" t="str">
        <f t="shared" si="201"/>
        <v>0107</v>
      </c>
      <c r="B2125" s="3" t="s">
        <v>22</v>
      </c>
      <c r="C2125" s="3" t="str">
        <f>"颜瑾"</f>
        <v>颜瑾</v>
      </c>
      <c r="D2125" s="3" t="str">
        <f>"女"</f>
        <v>女</v>
      </c>
      <c r="E2125" s="3" t="str">
        <f>"2507017216"</f>
        <v>2507017216</v>
      </c>
      <c r="F2125" s="3" t="str">
        <f t="shared" si="202"/>
        <v>72</v>
      </c>
      <c r="G2125" s="4" t="str">
        <f>"16"</f>
        <v>16</v>
      </c>
      <c r="H2125" s="5">
        <v>80.8</v>
      </c>
      <c r="I2125" s="3"/>
    </row>
    <row r="2126" customHeight="1" spans="1:9">
      <c r="A2126" s="3" t="str">
        <f t="shared" si="201"/>
        <v>0107</v>
      </c>
      <c r="B2126" s="3" t="s">
        <v>22</v>
      </c>
      <c r="C2126" s="3" t="str">
        <f>"王路童"</f>
        <v>王路童</v>
      </c>
      <c r="D2126" s="3" t="str">
        <f>"女"</f>
        <v>女</v>
      </c>
      <c r="E2126" s="3" t="str">
        <f>"2507017217"</f>
        <v>2507017217</v>
      </c>
      <c r="F2126" s="3" t="str">
        <f t="shared" si="202"/>
        <v>72</v>
      </c>
      <c r="G2126" s="4" t="str">
        <f>"17"</f>
        <v>17</v>
      </c>
      <c r="H2126" s="5">
        <v>68.2</v>
      </c>
      <c r="I2126" s="3"/>
    </row>
    <row r="2127" customHeight="1" spans="1:9">
      <c r="A2127" s="3" t="str">
        <f t="shared" si="201"/>
        <v>0107</v>
      </c>
      <c r="B2127" s="3" t="s">
        <v>22</v>
      </c>
      <c r="C2127" s="3" t="str">
        <f>"郑盛凯"</f>
        <v>郑盛凯</v>
      </c>
      <c r="D2127" s="3" t="str">
        <f>"男"</f>
        <v>男</v>
      </c>
      <c r="E2127" s="3" t="str">
        <f>"2507017218"</f>
        <v>2507017218</v>
      </c>
      <c r="F2127" s="3" t="str">
        <f t="shared" si="202"/>
        <v>72</v>
      </c>
      <c r="G2127" s="4" t="str">
        <f>"18"</f>
        <v>18</v>
      </c>
      <c r="H2127" s="5">
        <v>0</v>
      </c>
      <c r="I2127" s="3" t="s">
        <v>11</v>
      </c>
    </row>
    <row r="2128" customHeight="1" spans="1:9">
      <c r="A2128" s="3" t="str">
        <f t="shared" si="201"/>
        <v>0107</v>
      </c>
      <c r="B2128" s="3" t="s">
        <v>22</v>
      </c>
      <c r="C2128" s="3" t="str">
        <f>"米雪纯"</f>
        <v>米雪纯</v>
      </c>
      <c r="D2128" s="3" t="str">
        <f t="shared" ref="D2128:D2135" si="204">"女"</f>
        <v>女</v>
      </c>
      <c r="E2128" s="3" t="str">
        <f>"2507017219"</f>
        <v>2507017219</v>
      </c>
      <c r="F2128" s="3" t="str">
        <f t="shared" si="202"/>
        <v>72</v>
      </c>
      <c r="G2128" s="4" t="str">
        <f>"19"</f>
        <v>19</v>
      </c>
      <c r="H2128" s="5">
        <v>87.2</v>
      </c>
      <c r="I2128" s="3"/>
    </row>
    <row r="2129" customHeight="1" spans="1:9">
      <c r="A2129" s="3" t="str">
        <f t="shared" si="201"/>
        <v>0107</v>
      </c>
      <c r="B2129" s="3" t="s">
        <v>22</v>
      </c>
      <c r="C2129" s="3" t="str">
        <f>"石鸽鸽"</f>
        <v>石鸽鸽</v>
      </c>
      <c r="D2129" s="3" t="str">
        <f t="shared" si="204"/>
        <v>女</v>
      </c>
      <c r="E2129" s="3" t="str">
        <f>"2507017220"</f>
        <v>2507017220</v>
      </c>
      <c r="F2129" s="3" t="str">
        <f t="shared" si="202"/>
        <v>72</v>
      </c>
      <c r="G2129" s="4" t="str">
        <f>"20"</f>
        <v>20</v>
      </c>
      <c r="H2129" s="5">
        <v>62.7</v>
      </c>
      <c r="I2129" s="3"/>
    </row>
    <row r="2130" customHeight="1" spans="1:9">
      <c r="A2130" s="3" t="str">
        <f t="shared" si="201"/>
        <v>0107</v>
      </c>
      <c r="B2130" s="3" t="s">
        <v>22</v>
      </c>
      <c r="C2130" s="3" t="str">
        <f>"李若冰"</f>
        <v>李若冰</v>
      </c>
      <c r="D2130" s="3" t="str">
        <f t="shared" si="204"/>
        <v>女</v>
      </c>
      <c r="E2130" s="3" t="str">
        <f>"2507017221"</f>
        <v>2507017221</v>
      </c>
      <c r="F2130" s="3" t="str">
        <f t="shared" si="202"/>
        <v>72</v>
      </c>
      <c r="G2130" s="4" t="str">
        <f>"21"</f>
        <v>21</v>
      </c>
      <c r="H2130" s="5">
        <v>74.2</v>
      </c>
      <c r="I2130" s="3"/>
    </row>
    <row r="2131" customHeight="1" spans="1:9">
      <c r="A2131" s="3" t="str">
        <f t="shared" si="201"/>
        <v>0107</v>
      </c>
      <c r="B2131" s="3" t="s">
        <v>22</v>
      </c>
      <c r="C2131" s="3" t="str">
        <f>"吴飘"</f>
        <v>吴飘</v>
      </c>
      <c r="D2131" s="3" t="str">
        <f t="shared" si="204"/>
        <v>女</v>
      </c>
      <c r="E2131" s="3" t="str">
        <f>"2507017222"</f>
        <v>2507017222</v>
      </c>
      <c r="F2131" s="3" t="str">
        <f t="shared" si="202"/>
        <v>72</v>
      </c>
      <c r="G2131" s="4" t="str">
        <f>"22"</f>
        <v>22</v>
      </c>
      <c r="H2131" s="5">
        <v>77.9</v>
      </c>
      <c r="I2131" s="3"/>
    </row>
    <row r="2132" customHeight="1" spans="1:9">
      <c r="A2132" s="3" t="str">
        <f t="shared" si="201"/>
        <v>0107</v>
      </c>
      <c r="B2132" s="3" t="s">
        <v>22</v>
      </c>
      <c r="C2132" s="3" t="str">
        <f>"孙碧涵"</f>
        <v>孙碧涵</v>
      </c>
      <c r="D2132" s="3" t="str">
        <f t="shared" si="204"/>
        <v>女</v>
      </c>
      <c r="E2132" s="3" t="str">
        <f>"2507017223"</f>
        <v>2507017223</v>
      </c>
      <c r="F2132" s="3" t="str">
        <f t="shared" si="202"/>
        <v>72</v>
      </c>
      <c r="G2132" s="4" t="str">
        <f>"23"</f>
        <v>23</v>
      </c>
      <c r="H2132" s="5">
        <v>76.4</v>
      </c>
      <c r="I2132" s="3"/>
    </row>
    <row r="2133" customHeight="1" spans="1:9">
      <c r="A2133" s="3" t="str">
        <f t="shared" si="201"/>
        <v>0107</v>
      </c>
      <c r="B2133" s="3" t="s">
        <v>22</v>
      </c>
      <c r="C2133" s="3" t="str">
        <f>"张浩月"</f>
        <v>张浩月</v>
      </c>
      <c r="D2133" s="3" t="str">
        <f t="shared" si="204"/>
        <v>女</v>
      </c>
      <c r="E2133" s="3" t="str">
        <f>"2507017224"</f>
        <v>2507017224</v>
      </c>
      <c r="F2133" s="3" t="str">
        <f t="shared" si="202"/>
        <v>72</v>
      </c>
      <c r="G2133" s="4" t="str">
        <f>"24"</f>
        <v>24</v>
      </c>
      <c r="H2133" s="5">
        <v>0</v>
      </c>
      <c r="I2133" s="3" t="s">
        <v>11</v>
      </c>
    </row>
    <row r="2134" customHeight="1" spans="1:9">
      <c r="A2134" s="3" t="str">
        <f t="shared" si="201"/>
        <v>0107</v>
      </c>
      <c r="B2134" s="3" t="s">
        <v>22</v>
      </c>
      <c r="C2134" s="3" t="str">
        <f>"崔卉珍"</f>
        <v>崔卉珍</v>
      </c>
      <c r="D2134" s="3" t="str">
        <f t="shared" si="204"/>
        <v>女</v>
      </c>
      <c r="E2134" s="3" t="str">
        <f>"2507017225"</f>
        <v>2507017225</v>
      </c>
      <c r="F2134" s="3" t="str">
        <f t="shared" si="202"/>
        <v>72</v>
      </c>
      <c r="G2134" s="4" t="str">
        <f>"25"</f>
        <v>25</v>
      </c>
      <c r="H2134" s="5">
        <v>84.8</v>
      </c>
      <c r="I2134" s="3"/>
    </row>
    <row r="2135" customHeight="1" spans="1:9">
      <c r="A2135" s="3" t="str">
        <f t="shared" si="201"/>
        <v>0107</v>
      </c>
      <c r="B2135" s="3" t="s">
        <v>22</v>
      </c>
      <c r="C2135" s="3" t="str">
        <f>"傅小瑜"</f>
        <v>傅小瑜</v>
      </c>
      <c r="D2135" s="3" t="str">
        <f t="shared" si="204"/>
        <v>女</v>
      </c>
      <c r="E2135" s="3" t="str">
        <f>"2507017226"</f>
        <v>2507017226</v>
      </c>
      <c r="F2135" s="3" t="str">
        <f t="shared" si="202"/>
        <v>72</v>
      </c>
      <c r="G2135" s="4" t="str">
        <f>"26"</f>
        <v>26</v>
      </c>
      <c r="H2135" s="5">
        <v>0</v>
      </c>
      <c r="I2135" s="3" t="s">
        <v>11</v>
      </c>
    </row>
    <row r="2136" customHeight="1" spans="1:9">
      <c r="A2136" s="3" t="str">
        <f t="shared" si="201"/>
        <v>0107</v>
      </c>
      <c r="B2136" s="3" t="s">
        <v>22</v>
      </c>
      <c r="C2136" s="3" t="str">
        <f>"许文"</f>
        <v>许文</v>
      </c>
      <c r="D2136" s="3" t="str">
        <f>"男"</f>
        <v>男</v>
      </c>
      <c r="E2136" s="3" t="str">
        <f>"2507017227"</f>
        <v>2507017227</v>
      </c>
      <c r="F2136" s="3" t="str">
        <f t="shared" si="202"/>
        <v>72</v>
      </c>
      <c r="G2136" s="4" t="str">
        <f>"27"</f>
        <v>27</v>
      </c>
      <c r="H2136" s="5">
        <v>0</v>
      </c>
      <c r="I2136" s="3" t="s">
        <v>11</v>
      </c>
    </row>
    <row r="2137" customHeight="1" spans="1:9">
      <c r="A2137" s="3" t="str">
        <f t="shared" si="201"/>
        <v>0107</v>
      </c>
      <c r="B2137" s="3" t="s">
        <v>22</v>
      </c>
      <c r="C2137" s="3" t="str">
        <f>"张明茹"</f>
        <v>张明茹</v>
      </c>
      <c r="D2137" s="3" t="str">
        <f t="shared" ref="D2137:D2144" si="205">"女"</f>
        <v>女</v>
      </c>
      <c r="E2137" s="3" t="str">
        <f>"2507017228"</f>
        <v>2507017228</v>
      </c>
      <c r="F2137" s="3" t="str">
        <f t="shared" si="202"/>
        <v>72</v>
      </c>
      <c r="G2137" s="4" t="str">
        <f>"28"</f>
        <v>28</v>
      </c>
      <c r="H2137" s="5">
        <v>77.8</v>
      </c>
      <c r="I2137" s="3"/>
    </row>
    <row r="2138" customHeight="1" spans="1:9">
      <c r="A2138" s="3" t="str">
        <f t="shared" si="201"/>
        <v>0107</v>
      </c>
      <c r="B2138" s="3" t="s">
        <v>22</v>
      </c>
      <c r="C2138" s="3" t="str">
        <f>"陈梓叶"</f>
        <v>陈梓叶</v>
      </c>
      <c r="D2138" s="3" t="str">
        <f t="shared" si="205"/>
        <v>女</v>
      </c>
      <c r="E2138" s="3" t="str">
        <f>"2507017229"</f>
        <v>2507017229</v>
      </c>
      <c r="F2138" s="3" t="str">
        <f t="shared" si="202"/>
        <v>72</v>
      </c>
      <c r="G2138" s="4" t="str">
        <f>"29"</f>
        <v>29</v>
      </c>
      <c r="H2138" s="5">
        <v>0</v>
      </c>
      <c r="I2138" s="3" t="s">
        <v>11</v>
      </c>
    </row>
    <row r="2139" customHeight="1" spans="1:9">
      <c r="A2139" s="3" t="str">
        <f t="shared" si="201"/>
        <v>0107</v>
      </c>
      <c r="B2139" s="3" t="s">
        <v>22</v>
      </c>
      <c r="C2139" s="3" t="str">
        <f>"孙雪慧"</f>
        <v>孙雪慧</v>
      </c>
      <c r="D2139" s="3" t="str">
        <f t="shared" si="205"/>
        <v>女</v>
      </c>
      <c r="E2139" s="3" t="str">
        <f>"2507017230"</f>
        <v>2507017230</v>
      </c>
      <c r="F2139" s="3" t="str">
        <f t="shared" si="202"/>
        <v>72</v>
      </c>
      <c r="G2139" s="4" t="str">
        <f>"30"</f>
        <v>30</v>
      </c>
      <c r="H2139" s="5">
        <v>65.6</v>
      </c>
      <c r="I2139" s="3"/>
    </row>
    <row r="2140" customHeight="1" spans="1:9">
      <c r="A2140" s="3" t="str">
        <f t="shared" si="201"/>
        <v>0107</v>
      </c>
      <c r="B2140" s="3" t="s">
        <v>22</v>
      </c>
      <c r="C2140" s="3" t="str">
        <f>"高馨泽"</f>
        <v>高馨泽</v>
      </c>
      <c r="D2140" s="3" t="str">
        <f t="shared" si="205"/>
        <v>女</v>
      </c>
      <c r="E2140" s="3" t="str">
        <f>"2507017301"</f>
        <v>2507017301</v>
      </c>
      <c r="F2140" s="3" t="str">
        <f t="shared" ref="F2140:F2169" si="206">"73"</f>
        <v>73</v>
      </c>
      <c r="G2140" s="4" t="str">
        <f>"01"</f>
        <v>01</v>
      </c>
      <c r="H2140" s="5">
        <v>0</v>
      </c>
      <c r="I2140" s="3" t="s">
        <v>11</v>
      </c>
    </row>
    <row r="2141" customHeight="1" spans="1:9">
      <c r="A2141" s="3" t="str">
        <f t="shared" si="201"/>
        <v>0107</v>
      </c>
      <c r="B2141" s="3" t="s">
        <v>22</v>
      </c>
      <c r="C2141" s="3" t="str">
        <f>"李颖"</f>
        <v>李颖</v>
      </c>
      <c r="D2141" s="3" t="str">
        <f t="shared" si="205"/>
        <v>女</v>
      </c>
      <c r="E2141" s="3" t="str">
        <f>"2507017302"</f>
        <v>2507017302</v>
      </c>
      <c r="F2141" s="3" t="str">
        <f t="shared" si="206"/>
        <v>73</v>
      </c>
      <c r="G2141" s="4" t="str">
        <f>"02"</f>
        <v>02</v>
      </c>
      <c r="H2141" s="5">
        <v>0</v>
      </c>
      <c r="I2141" s="3" t="s">
        <v>11</v>
      </c>
    </row>
    <row r="2142" customHeight="1" spans="1:9">
      <c r="A2142" s="3" t="str">
        <f t="shared" si="201"/>
        <v>0107</v>
      </c>
      <c r="B2142" s="3" t="s">
        <v>22</v>
      </c>
      <c r="C2142" s="3" t="str">
        <f>"翟欣贝"</f>
        <v>翟欣贝</v>
      </c>
      <c r="D2142" s="3" t="str">
        <f t="shared" si="205"/>
        <v>女</v>
      </c>
      <c r="E2142" s="3" t="str">
        <f>"2507017303"</f>
        <v>2507017303</v>
      </c>
      <c r="F2142" s="3" t="str">
        <f t="shared" si="206"/>
        <v>73</v>
      </c>
      <c r="G2142" s="4" t="str">
        <f>"03"</f>
        <v>03</v>
      </c>
      <c r="H2142" s="5">
        <v>0</v>
      </c>
      <c r="I2142" s="3" t="s">
        <v>11</v>
      </c>
    </row>
    <row r="2143" customHeight="1" spans="1:9">
      <c r="A2143" s="3" t="str">
        <f t="shared" si="201"/>
        <v>0107</v>
      </c>
      <c r="B2143" s="3" t="s">
        <v>22</v>
      </c>
      <c r="C2143" s="3" t="str">
        <f>"陈婕"</f>
        <v>陈婕</v>
      </c>
      <c r="D2143" s="3" t="str">
        <f t="shared" si="205"/>
        <v>女</v>
      </c>
      <c r="E2143" s="3" t="str">
        <f>"2507017304"</f>
        <v>2507017304</v>
      </c>
      <c r="F2143" s="3" t="str">
        <f t="shared" si="206"/>
        <v>73</v>
      </c>
      <c r="G2143" s="4" t="str">
        <f>"04"</f>
        <v>04</v>
      </c>
      <c r="H2143" s="5">
        <v>0</v>
      </c>
      <c r="I2143" s="3" t="s">
        <v>11</v>
      </c>
    </row>
    <row r="2144" customHeight="1" spans="1:9">
      <c r="A2144" s="3" t="str">
        <f t="shared" si="201"/>
        <v>0107</v>
      </c>
      <c r="B2144" s="3" t="s">
        <v>22</v>
      </c>
      <c r="C2144" s="3" t="str">
        <f>"成沁颖"</f>
        <v>成沁颖</v>
      </c>
      <c r="D2144" s="3" t="str">
        <f t="shared" si="205"/>
        <v>女</v>
      </c>
      <c r="E2144" s="3" t="str">
        <f>"2507017305"</f>
        <v>2507017305</v>
      </c>
      <c r="F2144" s="3" t="str">
        <f t="shared" si="206"/>
        <v>73</v>
      </c>
      <c r="G2144" s="4" t="str">
        <f>"05"</f>
        <v>05</v>
      </c>
      <c r="H2144" s="5">
        <v>79.6</v>
      </c>
      <c r="I2144" s="3"/>
    </row>
    <row r="2145" customHeight="1" spans="1:9">
      <c r="A2145" s="3" t="str">
        <f t="shared" si="201"/>
        <v>0107</v>
      </c>
      <c r="B2145" s="3" t="s">
        <v>22</v>
      </c>
      <c r="C2145" s="3" t="str">
        <f>"陈碧宵"</f>
        <v>陈碧宵</v>
      </c>
      <c r="D2145" s="3" t="str">
        <f>"男"</f>
        <v>男</v>
      </c>
      <c r="E2145" s="3" t="str">
        <f>"2507017306"</f>
        <v>2507017306</v>
      </c>
      <c r="F2145" s="3" t="str">
        <f t="shared" si="206"/>
        <v>73</v>
      </c>
      <c r="G2145" s="4" t="str">
        <f>"06"</f>
        <v>06</v>
      </c>
      <c r="H2145" s="5">
        <v>67.7</v>
      </c>
      <c r="I2145" s="3"/>
    </row>
    <row r="2146" customHeight="1" spans="1:9">
      <c r="A2146" s="3" t="str">
        <f t="shared" si="201"/>
        <v>0107</v>
      </c>
      <c r="B2146" s="3" t="s">
        <v>22</v>
      </c>
      <c r="C2146" s="3" t="str">
        <f>"马韵秋"</f>
        <v>马韵秋</v>
      </c>
      <c r="D2146" s="3" t="str">
        <f t="shared" ref="D2146:D2151" si="207">"女"</f>
        <v>女</v>
      </c>
      <c r="E2146" s="3" t="str">
        <f>"2507017307"</f>
        <v>2507017307</v>
      </c>
      <c r="F2146" s="3" t="str">
        <f t="shared" si="206"/>
        <v>73</v>
      </c>
      <c r="G2146" s="4" t="str">
        <f>"07"</f>
        <v>07</v>
      </c>
      <c r="H2146" s="5">
        <v>82.3</v>
      </c>
      <c r="I2146" s="3"/>
    </row>
    <row r="2147" customHeight="1" spans="1:9">
      <c r="A2147" s="3" t="str">
        <f t="shared" si="201"/>
        <v>0107</v>
      </c>
      <c r="B2147" s="3" t="s">
        <v>22</v>
      </c>
      <c r="C2147" s="3" t="str">
        <f>"连梦凡"</f>
        <v>连梦凡</v>
      </c>
      <c r="D2147" s="3" t="str">
        <f t="shared" si="207"/>
        <v>女</v>
      </c>
      <c r="E2147" s="3" t="str">
        <f>"2507017308"</f>
        <v>2507017308</v>
      </c>
      <c r="F2147" s="3" t="str">
        <f t="shared" si="206"/>
        <v>73</v>
      </c>
      <c r="G2147" s="4" t="str">
        <f>"08"</f>
        <v>08</v>
      </c>
      <c r="H2147" s="5">
        <v>0</v>
      </c>
      <c r="I2147" s="3" t="s">
        <v>11</v>
      </c>
    </row>
    <row r="2148" customHeight="1" spans="1:9">
      <c r="A2148" s="3" t="str">
        <f t="shared" si="201"/>
        <v>0107</v>
      </c>
      <c r="B2148" s="3" t="s">
        <v>22</v>
      </c>
      <c r="C2148" s="3" t="str">
        <f>"陈安琪"</f>
        <v>陈安琪</v>
      </c>
      <c r="D2148" s="3" t="str">
        <f t="shared" si="207"/>
        <v>女</v>
      </c>
      <c r="E2148" s="3" t="str">
        <f>"2507017309"</f>
        <v>2507017309</v>
      </c>
      <c r="F2148" s="3" t="str">
        <f t="shared" si="206"/>
        <v>73</v>
      </c>
      <c r="G2148" s="4" t="str">
        <f>"09"</f>
        <v>09</v>
      </c>
      <c r="H2148" s="5">
        <v>64.7</v>
      </c>
      <c r="I2148" s="3"/>
    </row>
    <row r="2149" customHeight="1" spans="1:9">
      <c r="A2149" s="3" t="str">
        <f t="shared" si="201"/>
        <v>0107</v>
      </c>
      <c r="B2149" s="3" t="s">
        <v>22</v>
      </c>
      <c r="C2149" s="3" t="str">
        <f>"王丹宁"</f>
        <v>王丹宁</v>
      </c>
      <c r="D2149" s="3" t="str">
        <f t="shared" si="207"/>
        <v>女</v>
      </c>
      <c r="E2149" s="3" t="str">
        <f>"2507017310"</f>
        <v>2507017310</v>
      </c>
      <c r="F2149" s="3" t="str">
        <f t="shared" si="206"/>
        <v>73</v>
      </c>
      <c r="G2149" s="4" t="str">
        <f>"10"</f>
        <v>10</v>
      </c>
      <c r="H2149" s="5">
        <v>70.5</v>
      </c>
      <c r="I2149" s="3"/>
    </row>
    <row r="2150" customHeight="1" spans="1:9">
      <c r="A2150" s="3" t="str">
        <f t="shared" si="201"/>
        <v>0107</v>
      </c>
      <c r="B2150" s="3" t="s">
        <v>22</v>
      </c>
      <c r="C2150" s="3" t="str">
        <f>"陈子叶"</f>
        <v>陈子叶</v>
      </c>
      <c r="D2150" s="3" t="str">
        <f t="shared" si="207"/>
        <v>女</v>
      </c>
      <c r="E2150" s="3" t="str">
        <f>"2507017311"</f>
        <v>2507017311</v>
      </c>
      <c r="F2150" s="3" t="str">
        <f t="shared" si="206"/>
        <v>73</v>
      </c>
      <c r="G2150" s="4" t="str">
        <f>"11"</f>
        <v>11</v>
      </c>
      <c r="H2150" s="5">
        <v>58.7</v>
      </c>
      <c r="I2150" s="3"/>
    </row>
    <row r="2151" customHeight="1" spans="1:9">
      <c r="A2151" s="3" t="str">
        <f t="shared" si="201"/>
        <v>0107</v>
      </c>
      <c r="B2151" s="3" t="s">
        <v>22</v>
      </c>
      <c r="C2151" s="3" t="str">
        <f>"陈欣妤"</f>
        <v>陈欣妤</v>
      </c>
      <c r="D2151" s="3" t="str">
        <f t="shared" si="207"/>
        <v>女</v>
      </c>
      <c r="E2151" s="3" t="str">
        <f>"2507017312"</f>
        <v>2507017312</v>
      </c>
      <c r="F2151" s="3" t="str">
        <f t="shared" si="206"/>
        <v>73</v>
      </c>
      <c r="G2151" s="4" t="str">
        <f>"12"</f>
        <v>12</v>
      </c>
      <c r="H2151" s="5">
        <v>0</v>
      </c>
      <c r="I2151" s="3" t="s">
        <v>11</v>
      </c>
    </row>
    <row r="2152" customHeight="1" spans="1:9">
      <c r="A2152" s="3" t="str">
        <f t="shared" si="201"/>
        <v>0107</v>
      </c>
      <c r="B2152" s="3" t="s">
        <v>22</v>
      </c>
      <c r="C2152" s="3" t="str">
        <f>"申耘豪"</f>
        <v>申耘豪</v>
      </c>
      <c r="D2152" s="3" t="str">
        <f>"男"</f>
        <v>男</v>
      </c>
      <c r="E2152" s="3" t="str">
        <f>"2507017313"</f>
        <v>2507017313</v>
      </c>
      <c r="F2152" s="3" t="str">
        <f t="shared" si="206"/>
        <v>73</v>
      </c>
      <c r="G2152" s="4" t="str">
        <f>"13"</f>
        <v>13</v>
      </c>
      <c r="H2152" s="5">
        <v>68.9</v>
      </c>
      <c r="I2152" s="3"/>
    </row>
    <row r="2153" customHeight="1" spans="1:9">
      <c r="A2153" s="3" t="str">
        <f t="shared" si="201"/>
        <v>0107</v>
      </c>
      <c r="B2153" s="3" t="s">
        <v>22</v>
      </c>
      <c r="C2153" s="3" t="str">
        <f>"徐雯雯"</f>
        <v>徐雯雯</v>
      </c>
      <c r="D2153" s="3" t="str">
        <f>"女"</f>
        <v>女</v>
      </c>
      <c r="E2153" s="3" t="str">
        <f>"2507017314"</f>
        <v>2507017314</v>
      </c>
      <c r="F2153" s="3" t="str">
        <f t="shared" si="206"/>
        <v>73</v>
      </c>
      <c r="G2153" s="4" t="str">
        <f>"14"</f>
        <v>14</v>
      </c>
      <c r="H2153" s="5">
        <v>84.4</v>
      </c>
      <c r="I2153" s="3"/>
    </row>
    <row r="2154" customHeight="1" spans="1:9">
      <c r="A2154" s="3" t="str">
        <f t="shared" si="201"/>
        <v>0107</v>
      </c>
      <c r="B2154" s="3" t="s">
        <v>22</v>
      </c>
      <c r="C2154" s="3" t="str">
        <f>"董凯"</f>
        <v>董凯</v>
      </c>
      <c r="D2154" s="3" t="str">
        <f>"男"</f>
        <v>男</v>
      </c>
      <c r="E2154" s="3" t="str">
        <f>"2507017315"</f>
        <v>2507017315</v>
      </c>
      <c r="F2154" s="3" t="str">
        <f t="shared" si="206"/>
        <v>73</v>
      </c>
      <c r="G2154" s="4" t="str">
        <f>"15"</f>
        <v>15</v>
      </c>
      <c r="H2154" s="5">
        <v>0</v>
      </c>
      <c r="I2154" s="3" t="s">
        <v>11</v>
      </c>
    </row>
    <row r="2155" customHeight="1" spans="1:9">
      <c r="A2155" s="3" t="str">
        <f t="shared" si="201"/>
        <v>0107</v>
      </c>
      <c r="B2155" s="3" t="s">
        <v>22</v>
      </c>
      <c r="C2155" s="3" t="str">
        <f>"王嘉慧"</f>
        <v>王嘉慧</v>
      </c>
      <c r="D2155" s="3" t="str">
        <f t="shared" ref="D2155:D2166" si="208">"女"</f>
        <v>女</v>
      </c>
      <c r="E2155" s="3" t="str">
        <f>"2507017316"</f>
        <v>2507017316</v>
      </c>
      <c r="F2155" s="3" t="str">
        <f t="shared" si="206"/>
        <v>73</v>
      </c>
      <c r="G2155" s="4" t="str">
        <f>"16"</f>
        <v>16</v>
      </c>
      <c r="H2155" s="5">
        <v>0</v>
      </c>
      <c r="I2155" s="3" t="s">
        <v>11</v>
      </c>
    </row>
    <row r="2156" customHeight="1" spans="1:9">
      <c r="A2156" s="3" t="str">
        <f t="shared" si="201"/>
        <v>0107</v>
      </c>
      <c r="B2156" s="3" t="s">
        <v>22</v>
      </c>
      <c r="C2156" s="3" t="str">
        <f>"邓茹丹"</f>
        <v>邓茹丹</v>
      </c>
      <c r="D2156" s="3" t="str">
        <f t="shared" si="208"/>
        <v>女</v>
      </c>
      <c r="E2156" s="3" t="str">
        <f>"2507017317"</f>
        <v>2507017317</v>
      </c>
      <c r="F2156" s="3" t="str">
        <f t="shared" si="206"/>
        <v>73</v>
      </c>
      <c r="G2156" s="4" t="str">
        <f>"17"</f>
        <v>17</v>
      </c>
      <c r="H2156" s="5">
        <v>66.6</v>
      </c>
      <c r="I2156" s="3"/>
    </row>
    <row r="2157" customHeight="1" spans="1:9">
      <c r="A2157" s="3" t="str">
        <f t="shared" si="201"/>
        <v>0107</v>
      </c>
      <c r="B2157" s="3" t="s">
        <v>22</v>
      </c>
      <c r="C2157" s="3" t="str">
        <f>"王馨悦"</f>
        <v>王馨悦</v>
      </c>
      <c r="D2157" s="3" t="str">
        <f t="shared" si="208"/>
        <v>女</v>
      </c>
      <c r="E2157" s="3" t="str">
        <f>"2507017318"</f>
        <v>2507017318</v>
      </c>
      <c r="F2157" s="3" t="str">
        <f t="shared" si="206"/>
        <v>73</v>
      </c>
      <c r="G2157" s="4" t="str">
        <f>"18"</f>
        <v>18</v>
      </c>
      <c r="H2157" s="5">
        <v>78.9</v>
      </c>
      <c r="I2157" s="3"/>
    </row>
    <row r="2158" customHeight="1" spans="1:9">
      <c r="A2158" s="3" t="str">
        <f t="shared" si="201"/>
        <v>0107</v>
      </c>
      <c r="B2158" s="3" t="s">
        <v>22</v>
      </c>
      <c r="C2158" s="3" t="str">
        <f>"梁修玥"</f>
        <v>梁修玥</v>
      </c>
      <c r="D2158" s="3" t="str">
        <f t="shared" si="208"/>
        <v>女</v>
      </c>
      <c r="E2158" s="3" t="str">
        <f>"2507017319"</f>
        <v>2507017319</v>
      </c>
      <c r="F2158" s="3" t="str">
        <f t="shared" si="206"/>
        <v>73</v>
      </c>
      <c r="G2158" s="4" t="str">
        <f>"19"</f>
        <v>19</v>
      </c>
      <c r="H2158" s="5">
        <v>72.6</v>
      </c>
      <c r="I2158" s="3"/>
    </row>
    <row r="2159" customHeight="1" spans="1:9">
      <c r="A2159" s="3" t="str">
        <f t="shared" si="201"/>
        <v>0107</v>
      </c>
      <c r="B2159" s="3" t="s">
        <v>22</v>
      </c>
      <c r="C2159" s="3" t="str">
        <f>"石许许"</f>
        <v>石许许</v>
      </c>
      <c r="D2159" s="3" t="str">
        <f t="shared" si="208"/>
        <v>女</v>
      </c>
      <c r="E2159" s="3" t="str">
        <f>"2507017320"</f>
        <v>2507017320</v>
      </c>
      <c r="F2159" s="3" t="str">
        <f t="shared" si="206"/>
        <v>73</v>
      </c>
      <c r="G2159" s="4" t="str">
        <f>"20"</f>
        <v>20</v>
      </c>
      <c r="H2159" s="5">
        <v>0</v>
      </c>
      <c r="I2159" s="3" t="s">
        <v>11</v>
      </c>
    </row>
    <row r="2160" customHeight="1" spans="1:9">
      <c r="A2160" s="3" t="str">
        <f t="shared" si="201"/>
        <v>0107</v>
      </c>
      <c r="B2160" s="3" t="s">
        <v>22</v>
      </c>
      <c r="C2160" s="3" t="str">
        <f>"武优"</f>
        <v>武优</v>
      </c>
      <c r="D2160" s="3" t="str">
        <f t="shared" si="208"/>
        <v>女</v>
      </c>
      <c r="E2160" s="3" t="str">
        <f>"2507017321"</f>
        <v>2507017321</v>
      </c>
      <c r="F2160" s="3" t="str">
        <f t="shared" si="206"/>
        <v>73</v>
      </c>
      <c r="G2160" s="4" t="str">
        <f>"21"</f>
        <v>21</v>
      </c>
      <c r="H2160" s="5">
        <v>82.4</v>
      </c>
      <c r="I2160" s="3"/>
    </row>
    <row r="2161" customHeight="1" spans="1:9">
      <c r="A2161" s="3" t="str">
        <f t="shared" si="201"/>
        <v>0107</v>
      </c>
      <c r="B2161" s="3" t="s">
        <v>22</v>
      </c>
      <c r="C2161" s="3" t="str">
        <f>"鲁玉"</f>
        <v>鲁玉</v>
      </c>
      <c r="D2161" s="3" t="str">
        <f t="shared" si="208"/>
        <v>女</v>
      </c>
      <c r="E2161" s="3" t="str">
        <f>"2507017322"</f>
        <v>2507017322</v>
      </c>
      <c r="F2161" s="3" t="str">
        <f t="shared" si="206"/>
        <v>73</v>
      </c>
      <c r="G2161" s="4" t="str">
        <f>"22"</f>
        <v>22</v>
      </c>
      <c r="H2161" s="5">
        <v>57.6</v>
      </c>
      <c r="I2161" s="3"/>
    </row>
    <row r="2162" customHeight="1" spans="1:9">
      <c r="A2162" s="3" t="str">
        <f t="shared" si="201"/>
        <v>0107</v>
      </c>
      <c r="B2162" s="3" t="s">
        <v>22</v>
      </c>
      <c r="C2162" s="3" t="str">
        <f>"刘思宇"</f>
        <v>刘思宇</v>
      </c>
      <c r="D2162" s="3" t="str">
        <f t="shared" si="208"/>
        <v>女</v>
      </c>
      <c r="E2162" s="3" t="str">
        <f>"2507017323"</f>
        <v>2507017323</v>
      </c>
      <c r="F2162" s="3" t="str">
        <f t="shared" si="206"/>
        <v>73</v>
      </c>
      <c r="G2162" s="4" t="str">
        <f>"23"</f>
        <v>23</v>
      </c>
      <c r="H2162" s="5">
        <v>0</v>
      </c>
      <c r="I2162" s="3" t="s">
        <v>11</v>
      </c>
    </row>
    <row r="2163" customHeight="1" spans="1:9">
      <c r="A2163" s="3" t="str">
        <f t="shared" si="201"/>
        <v>0107</v>
      </c>
      <c r="B2163" s="3" t="s">
        <v>22</v>
      </c>
      <c r="C2163" s="3" t="str">
        <f>"程元茜"</f>
        <v>程元茜</v>
      </c>
      <c r="D2163" s="3" t="str">
        <f t="shared" si="208"/>
        <v>女</v>
      </c>
      <c r="E2163" s="3" t="str">
        <f>"2507017324"</f>
        <v>2507017324</v>
      </c>
      <c r="F2163" s="3" t="str">
        <f t="shared" si="206"/>
        <v>73</v>
      </c>
      <c r="G2163" s="4" t="str">
        <f>"24"</f>
        <v>24</v>
      </c>
      <c r="H2163" s="5">
        <v>85.8</v>
      </c>
      <c r="I2163" s="3"/>
    </row>
    <row r="2164" customHeight="1" spans="1:9">
      <c r="A2164" s="3" t="str">
        <f t="shared" si="201"/>
        <v>0107</v>
      </c>
      <c r="B2164" s="3" t="s">
        <v>22</v>
      </c>
      <c r="C2164" s="3" t="str">
        <f>"张娴娴"</f>
        <v>张娴娴</v>
      </c>
      <c r="D2164" s="3" t="str">
        <f t="shared" si="208"/>
        <v>女</v>
      </c>
      <c r="E2164" s="3" t="str">
        <f>"2507017325"</f>
        <v>2507017325</v>
      </c>
      <c r="F2164" s="3" t="str">
        <f t="shared" si="206"/>
        <v>73</v>
      </c>
      <c r="G2164" s="4" t="str">
        <f>"25"</f>
        <v>25</v>
      </c>
      <c r="H2164" s="5">
        <v>67.9</v>
      </c>
      <c r="I2164" s="3"/>
    </row>
    <row r="2165" customHeight="1" spans="1:9">
      <c r="A2165" s="3" t="str">
        <f t="shared" si="201"/>
        <v>0107</v>
      </c>
      <c r="B2165" s="3" t="s">
        <v>22</v>
      </c>
      <c r="C2165" s="3" t="str">
        <f>"颜冬"</f>
        <v>颜冬</v>
      </c>
      <c r="D2165" s="3" t="str">
        <f t="shared" si="208"/>
        <v>女</v>
      </c>
      <c r="E2165" s="3" t="str">
        <f>"2507017326"</f>
        <v>2507017326</v>
      </c>
      <c r="F2165" s="3" t="str">
        <f t="shared" si="206"/>
        <v>73</v>
      </c>
      <c r="G2165" s="4" t="str">
        <f>"26"</f>
        <v>26</v>
      </c>
      <c r="H2165" s="5">
        <v>0</v>
      </c>
      <c r="I2165" s="3" t="s">
        <v>11</v>
      </c>
    </row>
    <row r="2166" customHeight="1" spans="1:9">
      <c r="A2166" s="3" t="str">
        <f t="shared" si="201"/>
        <v>0107</v>
      </c>
      <c r="B2166" s="3" t="s">
        <v>22</v>
      </c>
      <c r="C2166" s="3" t="str">
        <f>"左懿"</f>
        <v>左懿</v>
      </c>
      <c r="D2166" s="3" t="str">
        <f t="shared" si="208"/>
        <v>女</v>
      </c>
      <c r="E2166" s="3" t="str">
        <f>"2507017327"</f>
        <v>2507017327</v>
      </c>
      <c r="F2166" s="3" t="str">
        <f t="shared" si="206"/>
        <v>73</v>
      </c>
      <c r="G2166" s="4" t="str">
        <f>"27"</f>
        <v>27</v>
      </c>
      <c r="H2166" s="5">
        <v>0</v>
      </c>
      <c r="I2166" s="3" t="s">
        <v>11</v>
      </c>
    </row>
    <row r="2167" customHeight="1" spans="1:9">
      <c r="A2167" s="3" t="str">
        <f t="shared" si="201"/>
        <v>0107</v>
      </c>
      <c r="B2167" s="3" t="s">
        <v>22</v>
      </c>
      <c r="C2167" s="3" t="str">
        <f>"周彪"</f>
        <v>周彪</v>
      </c>
      <c r="D2167" s="3" t="str">
        <f>"男"</f>
        <v>男</v>
      </c>
      <c r="E2167" s="3" t="str">
        <f>"2507017328"</f>
        <v>2507017328</v>
      </c>
      <c r="F2167" s="3" t="str">
        <f t="shared" si="206"/>
        <v>73</v>
      </c>
      <c r="G2167" s="4" t="str">
        <f>"28"</f>
        <v>28</v>
      </c>
      <c r="H2167" s="5">
        <v>0</v>
      </c>
      <c r="I2167" s="3" t="s">
        <v>11</v>
      </c>
    </row>
    <row r="2168" customHeight="1" spans="1:9">
      <c r="A2168" s="3" t="str">
        <f t="shared" si="201"/>
        <v>0107</v>
      </c>
      <c r="B2168" s="3" t="s">
        <v>22</v>
      </c>
      <c r="C2168" s="3" t="str">
        <f>"王锦琼"</f>
        <v>王锦琼</v>
      </c>
      <c r="D2168" s="3" t="str">
        <f>"女"</f>
        <v>女</v>
      </c>
      <c r="E2168" s="3" t="str">
        <f>"2507017329"</f>
        <v>2507017329</v>
      </c>
      <c r="F2168" s="3" t="str">
        <f t="shared" si="206"/>
        <v>73</v>
      </c>
      <c r="G2168" s="4" t="str">
        <f>"29"</f>
        <v>29</v>
      </c>
      <c r="H2168" s="5">
        <v>61</v>
      </c>
      <c r="I2168" s="3"/>
    </row>
    <row r="2169" customHeight="1" spans="1:9">
      <c r="A2169" s="3" t="str">
        <f t="shared" si="201"/>
        <v>0107</v>
      </c>
      <c r="B2169" s="3" t="s">
        <v>22</v>
      </c>
      <c r="C2169" s="3" t="str">
        <f>"孙文宣"</f>
        <v>孙文宣</v>
      </c>
      <c r="D2169" s="3" t="str">
        <f>"女"</f>
        <v>女</v>
      </c>
      <c r="E2169" s="3" t="str">
        <f>"2507017330"</f>
        <v>2507017330</v>
      </c>
      <c r="F2169" s="3" t="str">
        <f t="shared" si="206"/>
        <v>73</v>
      </c>
      <c r="G2169" s="4" t="str">
        <f>"30"</f>
        <v>30</v>
      </c>
      <c r="H2169" s="5">
        <v>55.6</v>
      </c>
      <c r="I2169" s="3"/>
    </row>
    <row r="2170" customHeight="1" spans="1:9">
      <c r="A2170" s="3" t="str">
        <f t="shared" si="201"/>
        <v>0107</v>
      </c>
      <c r="B2170" s="3" t="s">
        <v>22</v>
      </c>
      <c r="C2170" s="3" t="str">
        <f>"李红润"</f>
        <v>李红润</v>
      </c>
      <c r="D2170" s="3" t="str">
        <f>"女"</f>
        <v>女</v>
      </c>
      <c r="E2170" s="3" t="str">
        <f>"2507017401"</f>
        <v>2507017401</v>
      </c>
      <c r="F2170" s="3" t="str">
        <f t="shared" ref="F2170:F2199" si="209">"74"</f>
        <v>74</v>
      </c>
      <c r="G2170" s="4" t="str">
        <f>"01"</f>
        <v>01</v>
      </c>
      <c r="H2170" s="5">
        <v>80.8</v>
      </c>
      <c r="I2170" s="3"/>
    </row>
    <row r="2171" customHeight="1" spans="1:9">
      <c r="A2171" s="3" t="str">
        <f t="shared" si="201"/>
        <v>0107</v>
      </c>
      <c r="B2171" s="3" t="s">
        <v>22</v>
      </c>
      <c r="C2171" s="3" t="str">
        <f>"张允琰"</f>
        <v>张允琰</v>
      </c>
      <c r="D2171" s="3" t="str">
        <f>"男"</f>
        <v>男</v>
      </c>
      <c r="E2171" s="3" t="str">
        <f>"2507017402"</f>
        <v>2507017402</v>
      </c>
      <c r="F2171" s="3" t="str">
        <f t="shared" si="209"/>
        <v>74</v>
      </c>
      <c r="G2171" s="4" t="str">
        <f>"02"</f>
        <v>02</v>
      </c>
      <c r="H2171" s="5">
        <v>0</v>
      </c>
      <c r="I2171" s="3" t="s">
        <v>11</v>
      </c>
    </row>
    <row r="2172" customHeight="1" spans="1:9">
      <c r="A2172" s="3" t="str">
        <f t="shared" si="201"/>
        <v>0107</v>
      </c>
      <c r="B2172" s="3" t="s">
        <v>22</v>
      </c>
      <c r="C2172" s="3" t="str">
        <f>"杨蕊"</f>
        <v>杨蕊</v>
      </c>
      <c r="D2172" s="3" t="str">
        <f>"女"</f>
        <v>女</v>
      </c>
      <c r="E2172" s="3" t="str">
        <f>"2507017403"</f>
        <v>2507017403</v>
      </c>
      <c r="F2172" s="3" t="str">
        <f t="shared" si="209"/>
        <v>74</v>
      </c>
      <c r="G2172" s="4" t="str">
        <f>"03"</f>
        <v>03</v>
      </c>
      <c r="H2172" s="5">
        <v>83.2</v>
      </c>
      <c r="I2172" s="3"/>
    </row>
    <row r="2173" customHeight="1" spans="1:9">
      <c r="A2173" s="3" t="str">
        <f t="shared" si="201"/>
        <v>0107</v>
      </c>
      <c r="B2173" s="3" t="s">
        <v>22</v>
      </c>
      <c r="C2173" s="3" t="str">
        <f>"张泽"</f>
        <v>张泽</v>
      </c>
      <c r="D2173" s="3" t="str">
        <f>"女"</f>
        <v>女</v>
      </c>
      <c r="E2173" s="3" t="str">
        <f>"2507017404"</f>
        <v>2507017404</v>
      </c>
      <c r="F2173" s="3" t="str">
        <f t="shared" si="209"/>
        <v>74</v>
      </c>
      <c r="G2173" s="4" t="str">
        <f>"04"</f>
        <v>04</v>
      </c>
      <c r="H2173" s="5">
        <v>80.6</v>
      </c>
      <c r="I2173" s="3"/>
    </row>
    <row r="2174" customHeight="1" spans="1:9">
      <c r="A2174" s="3" t="str">
        <f t="shared" ref="A2174:A2237" si="210">"0107"</f>
        <v>0107</v>
      </c>
      <c r="B2174" s="3" t="s">
        <v>22</v>
      </c>
      <c r="C2174" s="3" t="str">
        <f>"蒋宜君"</f>
        <v>蒋宜君</v>
      </c>
      <c r="D2174" s="3" t="str">
        <f>"女"</f>
        <v>女</v>
      </c>
      <c r="E2174" s="3" t="str">
        <f>"2507017405"</f>
        <v>2507017405</v>
      </c>
      <c r="F2174" s="3" t="str">
        <f t="shared" si="209"/>
        <v>74</v>
      </c>
      <c r="G2174" s="4" t="str">
        <f>"05"</f>
        <v>05</v>
      </c>
      <c r="H2174" s="5">
        <v>81.9</v>
      </c>
      <c r="I2174" s="3"/>
    </row>
    <row r="2175" customHeight="1" spans="1:9">
      <c r="A2175" s="3" t="str">
        <f t="shared" si="210"/>
        <v>0107</v>
      </c>
      <c r="B2175" s="3" t="s">
        <v>22</v>
      </c>
      <c r="C2175" s="3" t="str">
        <f>"田梦威"</f>
        <v>田梦威</v>
      </c>
      <c r="D2175" s="3" t="str">
        <f>"女"</f>
        <v>女</v>
      </c>
      <c r="E2175" s="3" t="str">
        <f>"2507017406"</f>
        <v>2507017406</v>
      </c>
      <c r="F2175" s="3" t="str">
        <f t="shared" si="209"/>
        <v>74</v>
      </c>
      <c r="G2175" s="4" t="str">
        <f>"06"</f>
        <v>06</v>
      </c>
      <c r="H2175" s="5">
        <v>84.9</v>
      </c>
      <c r="I2175" s="3"/>
    </row>
    <row r="2176" customHeight="1" spans="1:9">
      <c r="A2176" s="3" t="str">
        <f t="shared" si="210"/>
        <v>0107</v>
      </c>
      <c r="B2176" s="3" t="s">
        <v>22</v>
      </c>
      <c r="C2176" s="3" t="str">
        <f>"杨天昭"</f>
        <v>杨天昭</v>
      </c>
      <c r="D2176" s="3" t="str">
        <f>"男"</f>
        <v>男</v>
      </c>
      <c r="E2176" s="3" t="str">
        <f>"2507017407"</f>
        <v>2507017407</v>
      </c>
      <c r="F2176" s="3" t="str">
        <f t="shared" si="209"/>
        <v>74</v>
      </c>
      <c r="G2176" s="4" t="str">
        <f>"07"</f>
        <v>07</v>
      </c>
      <c r="H2176" s="5">
        <v>80.7</v>
      </c>
      <c r="I2176" s="3"/>
    </row>
    <row r="2177" customHeight="1" spans="1:9">
      <c r="A2177" s="3" t="str">
        <f t="shared" si="210"/>
        <v>0107</v>
      </c>
      <c r="B2177" s="3" t="s">
        <v>22</v>
      </c>
      <c r="C2177" s="3" t="str">
        <f>"张帆"</f>
        <v>张帆</v>
      </c>
      <c r="D2177" s="3" t="str">
        <f>"男"</f>
        <v>男</v>
      </c>
      <c r="E2177" s="3" t="str">
        <f>"2507017408"</f>
        <v>2507017408</v>
      </c>
      <c r="F2177" s="3" t="str">
        <f t="shared" si="209"/>
        <v>74</v>
      </c>
      <c r="G2177" s="4" t="str">
        <f>"08"</f>
        <v>08</v>
      </c>
      <c r="H2177" s="5">
        <v>0</v>
      </c>
      <c r="I2177" s="3" t="s">
        <v>11</v>
      </c>
    </row>
    <row r="2178" customHeight="1" spans="1:9">
      <c r="A2178" s="3" t="str">
        <f t="shared" si="210"/>
        <v>0107</v>
      </c>
      <c r="B2178" s="3" t="s">
        <v>22</v>
      </c>
      <c r="C2178" s="3" t="str">
        <f>"霍俊希"</f>
        <v>霍俊希</v>
      </c>
      <c r="D2178" s="3" t="str">
        <f>"女"</f>
        <v>女</v>
      </c>
      <c r="E2178" s="3" t="str">
        <f>"2507017409"</f>
        <v>2507017409</v>
      </c>
      <c r="F2178" s="3" t="str">
        <f t="shared" si="209"/>
        <v>74</v>
      </c>
      <c r="G2178" s="4" t="str">
        <f>"09"</f>
        <v>09</v>
      </c>
      <c r="H2178" s="5">
        <v>0</v>
      </c>
      <c r="I2178" s="3" t="s">
        <v>11</v>
      </c>
    </row>
    <row r="2179" customHeight="1" spans="1:9">
      <c r="A2179" s="3" t="str">
        <f t="shared" si="210"/>
        <v>0107</v>
      </c>
      <c r="B2179" s="3" t="s">
        <v>22</v>
      </c>
      <c r="C2179" s="3" t="str">
        <f>"谢洋洋"</f>
        <v>谢洋洋</v>
      </c>
      <c r="D2179" s="3" t="str">
        <f>"女"</f>
        <v>女</v>
      </c>
      <c r="E2179" s="3" t="str">
        <f>"2507017410"</f>
        <v>2507017410</v>
      </c>
      <c r="F2179" s="3" t="str">
        <f t="shared" si="209"/>
        <v>74</v>
      </c>
      <c r="G2179" s="4" t="str">
        <f>"10"</f>
        <v>10</v>
      </c>
      <c r="H2179" s="5">
        <v>0</v>
      </c>
      <c r="I2179" s="3" t="s">
        <v>11</v>
      </c>
    </row>
    <row r="2180" customHeight="1" spans="1:9">
      <c r="A2180" s="3" t="str">
        <f t="shared" si="210"/>
        <v>0107</v>
      </c>
      <c r="B2180" s="3" t="s">
        <v>22</v>
      </c>
      <c r="C2180" s="3" t="str">
        <f>"张文馨"</f>
        <v>张文馨</v>
      </c>
      <c r="D2180" s="3" t="str">
        <f>"女"</f>
        <v>女</v>
      </c>
      <c r="E2180" s="3" t="str">
        <f>"2507017411"</f>
        <v>2507017411</v>
      </c>
      <c r="F2180" s="3" t="str">
        <f t="shared" si="209"/>
        <v>74</v>
      </c>
      <c r="G2180" s="4" t="str">
        <f>"11"</f>
        <v>11</v>
      </c>
      <c r="H2180" s="5">
        <v>79.2</v>
      </c>
      <c r="I2180" s="3"/>
    </row>
    <row r="2181" customHeight="1" spans="1:9">
      <c r="A2181" s="3" t="str">
        <f t="shared" si="210"/>
        <v>0107</v>
      </c>
      <c r="B2181" s="3" t="s">
        <v>22</v>
      </c>
      <c r="C2181" s="3" t="str">
        <f>"刘春廷"</f>
        <v>刘春廷</v>
      </c>
      <c r="D2181" s="3" t="str">
        <f>"女"</f>
        <v>女</v>
      </c>
      <c r="E2181" s="3" t="str">
        <f>"2507017412"</f>
        <v>2507017412</v>
      </c>
      <c r="F2181" s="3" t="str">
        <f t="shared" si="209"/>
        <v>74</v>
      </c>
      <c r="G2181" s="4" t="str">
        <f>"12"</f>
        <v>12</v>
      </c>
      <c r="H2181" s="5">
        <v>72.1</v>
      </c>
      <c r="I2181" s="3"/>
    </row>
    <row r="2182" customHeight="1" spans="1:9">
      <c r="A2182" s="3" t="str">
        <f t="shared" si="210"/>
        <v>0107</v>
      </c>
      <c r="B2182" s="3" t="s">
        <v>22</v>
      </c>
      <c r="C2182" s="3" t="str">
        <f>"季飞"</f>
        <v>季飞</v>
      </c>
      <c r="D2182" s="3" t="str">
        <f>"男"</f>
        <v>男</v>
      </c>
      <c r="E2182" s="3" t="str">
        <f>"2507017413"</f>
        <v>2507017413</v>
      </c>
      <c r="F2182" s="3" t="str">
        <f t="shared" si="209"/>
        <v>74</v>
      </c>
      <c r="G2182" s="4" t="str">
        <f>"13"</f>
        <v>13</v>
      </c>
      <c r="H2182" s="5">
        <v>0</v>
      </c>
      <c r="I2182" s="3" t="s">
        <v>11</v>
      </c>
    </row>
    <row r="2183" customHeight="1" spans="1:9">
      <c r="A2183" s="3" t="str">
        <f t="shared" si="210"/>
        <v>0107</v>
      </c>
      <c r="B2183" s="3" t="s">
        <v>22</v>
      </c>
      <c r="C2183" s="3" t="str">
        <f>"赵静斓"</f>
        <v>赵静斓</v>
      </c>
      <c r="D2183" s="3" t="str">
        <f>"女"</f>
        <v>女</v>
      </c>
      <c r="E2183" s="3" t="str">
        <f>"2507017414"</f>
        <v>2507017414</v>
      </c>
      <c r="F2183" s="3" t="str">
        <f t="shared" si="209"/>
        <v>74</v>
      </c>
      <c r="G2183" s="4" t="str">
        <f>"14"</f>
        <v>14</v>
      </c>
      <c r="H2183" s="5">
        <v>0</v>
      </c>
      <c r="I2183" s="3" t="s">
        <v>11</v>
      </c>
    </row>
    <row r="2184" customHeight="1" spans="1:9">
      <c r="A2184" s="3" t="str">
        <f t="shared" si="210"/>
        <v>0107</v>
      </c>
      <c r="B2184" s="3" t="s">
        <v>22</v>
      </c>
      <c r="C2184" s="3" t="str">
        <f>"赵文心"</f>
        <v>赵文心</v>
      </c>
      <c r="D2184" s="3" t="str">
        <f>"女"</f>
        <v>女</v>
      </c>
      <c r="E2184" s="3" t="str">
        <f>"2507017415"</f>
        <v>2507017415</v>
      </c>
      <c r="F2184" s="3" t="str">
        <f t="shared" si="209"/>
        <v>74</v>
      </c>
      <c r="G2184" s="4" t="str">
        <f>"15"</f>
        <v>15</v>
      </c>
      <c r="H2184" s="5">
        <v>79.2</v>
      </c>
      <c r="I2184" s="3"/>
    </row>
    <row r="2185" customHeight="1" spans="1:9">
      <c r="A2185" s="3" t="str">
        <f t="shared" si="210"/>
        <v>0107</v>
      </c>
      <c r="B2185" s="3" t="s">
        <v>22</v>
      </c>
      <c r="C2185" s="3" t="str">
        <f>"孙斌"</f>
        <v>孙斌</v>
      </c>
      <c r="D2185" s="3" t="str">
        <f>"男"</f>
        <v>男</v>
      </c>
      <c r="E2185" s="3" t="str">
        <f>"2507017416"</f>
        <v>2507017416</v>
      </c>
      <c r="F2185" s="3" t="str">
        <f t="shared" si="209"/>
        <v>74</v>
      </c>
      <c r="G2185" s="4" t="str">
        <f>"16"</f>
        <v>16</v>
      </c>
      <c r="H2185" s="5">
        <v>57</v>
      </c>
      <c r="I2185" s="3"/>
    </row>
    <row r="2186" customHeight="1" spans="1:9">
      <c r="A2186" s="3" t="str">
        <f t="shared" si="210"/>
        <v>0107</v>
      </c>
      <c r="B2186" s="3" t="s">
        <v>22</v>
      </c>
      <c r="C2186" s="3" t="str">
        <f>"曹晨昱"</f>
        <v>曹晨昱</v>
      </c>
      <c r="D2186" s="3" t="str">
        <f t="shared" ref="D2186:D2198" si="211">"女"</f>
        <v>女</v>
      </c>
      <c r="E2186" s="3" t="str">
        <f>"2507017417"</f>
        <v>2507017417</v>
      </c>
      <c r="F2186" s="3" t="str">
        <f t="shared" si="209"/>
        <v>74</v>
      </c>
      <c r="G2186" s="4" t="str">
        <f>"17"</f>
        <v>17</v>
      </c>
      <c r="H2186" s="5">
        <v>75.6</v>
      </c>
      <c r="I2186" s="3"/>
    </row>
    <row r="2187" customHeight="1" spans="1:9">
      <c r="A2187" s="3" t="str">
        <f t="shared" si="210"/>
        <v>0107</v>
      </c>
      <c r="B2187" s="3" t="s">
        <v>22</v>
      </c>
      <c r="C2187" s="3" t="str">
        <f>"韩程程"</f>
        <v>韩程程</v>
      </c>
      <c r="D2187" s="3" t="str">
        <f t="shared" si="211"/>
        <v>女</v>
      </c>
      <c r="E2187" s="3" t="str">
        <f>"2507017418"</f>
        <v>2507017418</v>
      </c>
      <c r="F2187" s="3" t="str">
        <f t="shared" si="209"/>
        <v>74</v>
      </c>
      <c r="G2187" s="4" t="str">
        <f>"18"</f>
        <v>18</v>
      </c>
      <c r="H2187" s="5">
        <v>76</v>
      </c>
      <c r="I2187" s="3"/>
    </row>
    <row r="2188" customHeight="1" spans="1:9">
      <c r="A2188" s="3" t="str">
        <f t="shared" si="210"/>
        <v>0107</v>
      </c>
      <c r="B2188" s="3" t="s">
        <v>22</v>
      </c>
      <c r="C2188" s="3" t="str">
        <f>"赵含"</f>
        <v>赵含</v>
      </c>
      <c r="D2188" s="3" t="str">
        <f t="shared" si="211"/>
        <v>女</v>
      </c>
      <c r="E2188" s="3" t="str">
        <f>"2507017419"</f>
        <v>2507017419</v>
      </c>
      <c r="F2188" s="3" t="str">
        <f t="shared" si="209"/>
        <v>74</v>
      </c>
      <c r="G2188" s="4" t="str">
        <f>"19"</f>
        <v>19</v>
      </c>
      <c r="H2188" s="5">
        <v>0</v>
      </c>
      <c r="I2188" s="3" t="s">
        <v>11</v>
      </c>
    </row>
    <row r="2189" customHeight="1" spans="1:9">
      <c r="A2189" s="3" t="str">
        <f t="shared" si="210"/>
        <v>0107</v>
      </c>
      <c r="B2189" s="3" t="s">
        <v>22</v>
      </c>
      <c r="C2189" s="3" t="str">
        <f>"孙笑笑"</f>
        <v>孙笑笑</v>
      </c>
      <c r="D2189" s="3" t="str">
        <f t="shared" si="211"/>
        <v>女</v>
      </c>
      <c r="E2189" s="3" t="str">
        <f>"2507017420"</f>
        <v>2507017420</v>
      </c>
      <c r="F2189" s="3" t="str">
        <f t="shared" si="209"/>
        <v>74</v>
      </c>
      <c r="G2189" s="4" t="str">
        <f>"20"</f>
        <v>20</v>
      </c>
      <c r="H2189" s="5">
        <v>0</v>
      </c>
      <c r="I2189" s="3" t="s">
        <v>11</v>
      </c>
    </row>
    <row r="2190" customHeight="1" spans="1:9">
      <c r="A2190" s="3" t="str">
        <f t="shared" si="210"/>
        <v>0107</v>
      </c>
      <c r="B2190" s="3" t="s">
        <v>22</v>
      </c>
      <c r="C2190" s="3" t="str">
        <f>"石程程"</f>
        <v>石程程</v>
      </c>
      <c r="D2190" s="3" t="str">
        <f t="shared" si="211"/>
        <v>女</v>
      </c>
      <c r="E2190" s="3" t="str">
        <f>"2507017421"</f>
        <v>2507017421</v>
      </c>
      <c r="F2190" s="3" t="str">
        <f t="shared" si="209"/>
        <v>74</v>
      </c>
      <c r="G2190" s="4" t="str">
        <f>"21"</f>
        <v>21</v>
      </c>
      <c r="H2190" s="5">
        <v>80.4</v>
      </c>
      <c r="I2190" s="3"/>
    </row>
    <row r="2191" customHeight="1" spans="1:9">
      <c r="A2191" s="3" t="str">
        <f t="shared" si="210"/>
        <v>0107</v>
      </c>
      <c r="B2191" s="3" t="s">
        <v>22</v>
      </c>
      <c r="C2191" s="3" t="str">
        <f>"阚玉珍"</f>
        <v>阚玉珍</v>
      </c>
      <c r="D2191" s="3" t="str">
        <f t="shared" si="211"/>
        <v>女</v>
      </c>
      <c r="E2191" s="3" t="str">
        <f>"2507017422"</f>
        <v>2507017422</v>
      </c>
      <c r="F2191" s="3" t="str">
        <f t="shared" si="209"/>
        <v>74</v>
      </c>
      <c r="G2191" s="4" t="str">
        <f>"22"</f>
        <v>22</v>
      </c>
      <c r="H2191" s="5">
        <v>60.7</v>
      </c>
      <c r="I2191" s="3"/>
    </row>
    <row r="2192" customHeight="1" spans="1:9">
      <c r="A2192" s="3" t="str">
        <f t="shared" si="210"/>
        <v>0107</v>
      </c>
      <c r="B2192" s="3" t="s">
        <v>22</v>
      </c>
      <c r="C2192" s="3" t="str">
        <f>"王明月"</f>
        <v>王明月</v>
      </c>
      <c r="D2192" s="3" t="str">
        <f t="shared" si="211"/>
        <v>女</v>
      </c>
      <c r="E2192" s="3" t="str">
        <f>"2507017423"</f>
        <v>2507017423</v>
      </c>
      <c r="F2192" s="3" t="str">
        <f t="shared" si="209"/>
        <v>74</v>
      </c>
      <c r="G2192" s="4" t="str">
        <f>"23"</f>
        <v>23</v>
      </c>
      <c r="H2192" s="5">
        <v>66.5</v>
      </c>
      <c r="I2192" s="3"/>
    </row>
    <row r="2193" customHeight="1" spans="1:9">
      <c r="A2193" s="3" t="str">
        <f t="shared" si="210"/>
        <v>0107</v>
      </c>
      <c r="B2193" s="3" t="s">
        <v>22</v>
      </c>
      <c r="C2193" s="3" t="str">
        <f>"潘晋楠"</f>
        <v>潘晋楠</v>
      </c>
      <c r="D2193" s="3" t="str">
        <f t="shared" si="211"/>
        <v>女</v>
      </c>
      <c r="E2193" s="3" t="str">
        <f>"2507017424"</f>
        <v>2507017424</v>
      </c>
      <c r="F2193" s="3" t="str">
        <f t="shared" si="209"/>
        <v>74</v>
      </c>
      <c r="G2193" s="4" t="str">
        <f>"24"</f>
        <v>24</v>
      </c>
      <c r="H2193" s="5">
        <v>0</v>
      </c>
      <c r="I2193" s="3" t="s">
        <v>11</v>
      </c>
    </row>
    <row r="2194" customHeight="1" spans="1:9">
      <c r="A2194" s="3" t="str">
        <f t="shared" si="210"/>
        <v>0107</v>
      </c>
      <c r="B2194" s="3" t="s">
        <v>22</v>
      </c>
      <c r="C2194" s="3" t="str">
        <f>"牛若宇"</f>
        <v>牛若宇</v>
      </c>
      <c r="D2194" s="3" t="str">
        <f t="shared" si="211"/>
        <v>女</v>
      </c>
      <c r="E2194" s="3" t="str">
        <f>"2507017425"</f>
        <v>2507017425</v>
      </c>
      <c r="F2194" s="3" t="str">
        <f t="shared" si="209"/>
        <v>74</v>
      </c>
      <c r="G2194" s="4" t="str">
        <f>"25"</f>
        <v>25</v>
      </c>
      <c r="H2194" s="5">
        <v>85.3</v>
      </c>
      <c r="I2194" s="3"/>
    </row>
    <row r="2195" customHeight="1" spans="1:9">
      <c r="A2195" s="3" t="str">
        <f t="shared" si="210"/>
        <v>0107</v>
      </c>
      <c r="B2195" s="3" t="s">
        <v>22</v>
      </c>
      <c r="C2195" s="3" t="str">
        <f>"刘舒晶"</f>
        <v>刘舒晶</v>
      </c>
      <c r="D2195" s="3" t="str">
        <f t="shared" si="211"/>
        <v>女</v>
      </c>
      <c r="E2195" s="3" t="str">
        <f>"2507017426"</f>
        <v>2507017426</v>
      </c>
      <c r="F2195" s="3" t="str">
        <f t="shared" si="209"/>
        <v>74</v>
      </c>
      <c r="G2195" s="4" t="str">
        <f>"26"</f>
        <v>26</v>
      </c>
      <c r="H2195" s="5">
        <v>74.3</v>
      </c>
      <c r="I2195" s="3"/>
    </row>
    <row r="2196" customHeight="1" spans="1:9">
      <c r="A2196" s="3" t="str">
        <f t="shared" si="210"/>
        <v>0107</v>
      </c>
      <c r="B2196" s="3" t="s">
        <v>22</v>
      </c>
      <c r="C2196" s="3" t="str">
        <f>"刘培"</f>
        <v>刘培</v>
      </c>
      <c r="D2196" s="3" t="str">
        <f t="shared" si="211"/>
        <v>女</v>
      </c>
      <c r="E2196" s="3" t="str">
        <f>"2507017427"</f>
        <v>2507017427</v>
      </c>
      <c r="F2196" s="3" t="str">
        <f t="shared" si="209"/>
        <v>74</v>
      </c>
      <c r="G2196" s="4" t="str">
        <f>"27"</f>
        <v>27</v>
      </c>
      <c r="H2196" s="5">
        <v>69.2</v>
      </c>
      <c r="I2196" s="3"/>
    </row>
    <row r="2197" customHeight="1" spans="1:9">
      <c r="A2197" s="3" t="str">
        <f t="shared" si="210"/>
        <v>0107</v>
      </c>
      <c r="B2197" s="3" t="s">
        <v>22</v>
      </c>
      <c r="C2197" s="3" t="str">
        <f>"吴甜甜"</f>
        <v>吴甜甜</v>
      </c>
      <c r="D2197" s="3" t="str">
        <f t="shared" si="211"/>
        <v>女</v>
      </c>
      <c r="E2197" s="3" t="str">
        <f>"2507017428"</f>
        <v>2507017428</v>
      </c>
      <c r="F2197" s="3" t="str">
        <f t="shared" si="209"/>
        <v>74</v>
      </c>
      <c r="G2197" s="4" t="str">
        <f>"28"</f>
        <v>28</v>
      </c>
      <c r="H2197" s="5">
        <v>0</v>
      </c>
      <c r="I2197" s="3" t="s">
        <v>11</v>
      </c>
    </row>
    <row r="2198" customHeight="1" spans="1:9">
      <c r="A2198" s="3" t="str">
        <f t="shared" si="210"/>
        <v>0107</v>
      </c>
      <c r="B2198" s="3" t="s">
        <v>22</v>
      </c>
      <c r="C2198" s="3" t="str">
        <f>"董子怡"</f>
        <v>董子怡</v>
      </c>
      <c r="D2198" s="3" t="str">
        <f t="shared" si="211"/>
        <v>女</v>
      </c>
      <c r="E2198" s="3" t="str">
        <f>"2507017429"</f>
        <v>2507017429</v>
      </c>
      <c r="F2198" s="3" t="str">
        <f t="shared" si="209"/>
        <v>74</v>
      </c>
      <c r="G2198" s="4" t="str">
        <f>"29"</f>
        <v>29</v>
      </c>
      <c r="H2198" s="5">
        <v>0</v>
      </c>
      <c r="I2198" s="3" t="s">
        <v>11</v>
      </c>
    </row>
    <row r="2199" customHeight="1" spans="1:9">
      <c r="A2199" s="3" t="str">
        <f t="shared" si="210"/>
        <v>0107</v>
      </c>
      <c r="B2199" s="3" t="s">
        <v>22</v>
      </c>
      <c r="C2199" s="3" t="str">
        <f>"高峰"</f>
        <v>高峰</v>
      </c>
      <c r="D2199" s="3" t="str">
        <f>"男"</f>
        <v>男</v>
      </c>
      <c r="E2199" s="3" t="str">
        <f>"2507017430"</f>
        <v>2507017430</v>
      </c>
      <c r="F2199" s="3" t="str">
        <f t="shared" si="209"/>
        <v>74</v>
      </c>
      <c r="G2199" s="4" t="str">
        <f>"30"</f>
        <v>30</v>
      </c>
      <c r="H2199" s="5">
        <v>83.5</v>
      </c>
      <c r="I2199" s="3"/>
    </row>
    <row r="2200" customHeight="1" spans="1:9">
      <c r="A2200" s="3" t="str">
        <f t="shared" si="210"/>
        <v>0107</v>
      </c>
      <c r="B2200" s="3" t="s">
        <v>22</v>
      </c>
      <c r="C2200" s="3" t="str">
        <f>"马壮"</f>
        <v>马壮</v>
      </c>
      <c r="D2200" s="3" t="str">
        <f>"男"</f>
        <v>男</v>
      </c>
      <c r="E2200" s="3" t="str">
        <f>"2507017501"</f>
        <v>2507017501</v>
      </c>
      <c r="F2200" s="3" t="str">
        <f t="shared" ref="F2200:F2229" si="212">"75"</f>
        <v>75</v>
      </c>
      <c r="G2200" s="4" t="str">
        <f>"01"</f>
        <v>01</v>
      </c>
      <c r="H2200" s="5">
        <v>79.4</v>
      </c>
      <c r="I2200" s="3"/>
    </row>
    <row r="2201" customHeight="1" spans="1:9">
      <c r="A2201" s="3" t="str">
        <f t="shared" si="210"/>
        <v>0107</v>
      </c>
      <c r="B2201" s="3" t="s">
        <v>22</v>
      </c>
      <c r="C2201" s="3" t="str">
        <f>"陈可欣"</f>
        <v>陈可欣</v>
      </c>
      <c r="D2201" s="3" t="str">
        <f>"女"</f>
        <v>女</v>
      </c>
      <c r="E2201" s="3" t="str">
        <f>"2507017502"</f>
        <v>2507017502</v>
      </c>
      <c r="F2201" s="3" t="str">
        <f t="shared" si="212"/>
        <v>75</v>
      </c>
      <c r="G2201" s="4" t="str">
        <f>"02"</f>
        <v>02</v>
      </c>
      <c r="H2201" s="5">
        <v>50.1</v>
      </c>
      <c r="I2201" s="3"/>
    </row>
    <row r="2202" customHeight="1" spans="1:9">
      <c r="A2202" s="3" t="str">
        <f t="shared" si="210"/>
        <v>0107</v>
      </c>
      <c r="B2202" s="3" t="s">
        <v>22</v>
      </c>
      <c r="C2202" s="3" t="str">
        <f>"夏茹"</f>
        <v>夏茹</v>
      </c>
      <c r="D2202" s="3" t="str">
        <f>"女"</f>
        <v>女</v>
      </c>
      <c r="E2202" s="3" t="str">
        <f>"2507017503"</f>
        <v>2507017503</v>
      </c>
      <c r="F2202" s="3" t="str">
        <f t="shared" si="212"/>
        <v>75</v>
      </c>
      <c r="G2202" s="4" t="str">
        <f>"03"</f>
        <v>03</v>
      </c>
      <c r="H2202" s="5">
        <v>67</v>
      </c>
      <c r="I2202" s="3"/>
    </row>
    <row r="2203" customHeight="1" spans="1:9">
      <c r="A2203" s="3" t="str">
        <f t="shared" si="210"/>
        <v>0107</v>
      </c>
      <c r="B2203" s="3" t="s">
        <v>22</v>
      </c>
      <c r="C2203" s="3" t="str">
        <f>"马喆宇"</f>
        <v>马喆宇</v>
      </c>
      <c r="D2203" s="3" t="str">
        <f>"女"</f>
        <v>女</v>
      </c>
      <c r="E2203" s="3" t="str">
        <f>"2507017504"</f>
        <v>2507017504</v>
      </c>
      <c r="F2203" s="3" t="str">
        <f t="shared" si="212"/>
        <v>75</v>
      </c>
      <c r="G2203" s="4" t="str">
        <f>"04"</f>
        <v>04</v>
      </c>
      <c r="H2203" s="5">
        <v>80.9</v>
      </c>
      <c r="I2203" s="3"/>
    </row>
    <row r="2204" customHeight="1" spans="1:9">
      <c r="A2204" s="3" t="str">
        <f t="shared" si="210"/>
        <v>0107</v>
      </c>
      <c r="B2204" s="3" t="s">
        <v>22</v>
      </c>
      <c r="C2204" s="3" t="str">
        <f>"刘力萍"</f>
        <v>刘力萍</v>
      </c>
      <c r="D2204" s="3" t="str">
        <f>"女"</f>
        <v>女</v>
      </c>
      <c r="E2204" s="3" t="str">
        <f>"2507017505"</f>
        <v>2507017505</v>
      </c>
      <c r="F2204" s="3" t="str">
        <f t="shared" si="212"/>
        <v>75</v>
      </c>
      <c r="G2204" s="4" t="str">
        <f>"05"</f>
        <v>05</v>
      </c>
      <c r="H2204" s="5">
        <v>86.4</v>
      </c>
      <c r="I2204" s="3"/>
    </row>
    <row r="2205" customHeight="1" spans="1:9">
      <c r="A2205" s="3" t="str">
        <f t="shared" si="210"/>
        <v>0107</v>
      </c>
      <c r="B2205" s="3" t="s">
        <v>22</v>
      </c>
      <c r="C2205" s="3" t="str">
        <f>"武自成"</f>
        <v>武自成</v>
      </c>
      <c r="D2205" s="3" t="str">
        <f>"男"</f>
        <v>男</v>
      </c>
      <c r="E2205" s="3" t="str">
        <f>"2507017506"</f>
        <v>2507017506</v>
      </c>
      <c r="F2205" s="3" t="str">
        <f t="shared" si="212"/>
        <v>75</v>
      </c>
      <c r="G2205" s="4" t="str">
        <f>"06"</f>
        <v>06</v>
      </c>
      <c r="H2205" s="5">
        <v>0</v>
      </c>
      <c r="I2205" s="3" t="s">
        <v>11</v>
      </c>
    </row>
    <row r="2206" customHeight="1" spans="1:9">
      <c r="A2206" s="3" t="str">
        <f t="shared" si="210"/>
        <v>0107</v>
      </c>
      <c r="B2206" s="3" t="s">
        <v>22</v>
      </c>
      <c r="C2206" s="3" t="str">
        <f>"张铭"</f>
        <v>张铭</v>
      </c>
      <c r="D2206" s="3" t="str">
        <f t="shared" ref="D2206:D2216" si="213">"女"</f>
        <v>女</v>
      </c>
      <c r="E2206" s="3" t="str">
        <f>"2507017507"</f>
        <v>2507017507</v>
      </c>
      <c r="F2206" s="3" t="str">
        <f t="shared" si="212"/>
        <v>75</v>
      </c>
      <c r="G2206" s="4" t="str">
        <f>"07"</f>
        <v>07</v>
      </c>
      <c r="H2206" s="5">
        <v>73.9</v>
      </c>
      <c r="I2206" s="3"/>
    </row>
    <row r="2207" customHeight="1" spans="1:9">
      <c r="A2207" s="3" t="str">
        <f t="shared" si="210"/>
        <v>0107</v>
      </c>
      <c r="B2207" s="3" t="s">
        <v>22</v>
      </c>
      <c r="C2207" s="3" t="str">
        <f>"刘洋"</f>
        <v>刘洋</v>
      </c>
      <c r="D2207" s="3" t="str">
        <f t="shared" si="213"/>
        <v>女</v>
      </c>
      <c r="E2207" s="3" t="str">
        <f>"2507017508"</f>
        <v>2507017508</v>
      </c>
      <c r="F2207" s="3" t="str">
        <f t="shared" si="212"/>
        <v>75</v>
      </c>
      <c r="G2207" s="4" t="str">
        <f>"08"</f>
        <v>08</v>
      </c>
      <c r="H2207" s="5">
        <v>75.1</v>
      </c>
      <c r="I2207" s="3"/>
    </row>
    <row r="2208" customHeight="1" spans="1:9">
      <c r="A2208" s="3" t="str">
        <f t="shared" si="210"/>
        <v>0107</v>
      </c>
      <c r="B2208" s="3" t="s">
        <v>22</v>
      </c>
      <c r="C2208" s="3" t="str">
        <f>"喻海敏"</f>
        <v>喻海敏</v>
      </c>
      <c r="D2208" s="3" t="str">
        <f t="shared" si="213"/>
        <v>女</v>
      </c>
      <c r="E2208" s="3" t="str">
        <f>"2507017509"</f>
        <v>2507017509</v>
      </c>
      <c r="F2208" s="3" t="str">
        <f t="shared" si="212"/>
        <v>75</v>
      </c>
      <c r="G2208" s="4" t="str">
        <f>"09"</f>
        <v>09</v>
      </c>
      <c r="H2208" s="5">
        <v>56.8</v>
      </c>
      <c r="I2208" s="3"/>
    </row>
    <row r="2209" customHeight="1" spans="1:9">
      <c r="A2209" s="3" t="str">
        <f t="shared" si="210"/>
        <v>0107</v>
      </c>
      <c r="B2209" s="3" t="s">
        <v>22</v>
      </c>
      <c r="C2209" s="3" t="str">
        <f>"郁婧"</f>
        <v>郁婧</v>
      </c>
      <c r="D2209" s="3" t="str">
        <f t="shared" si="213"/>
        <v>女</v>
      </c>
      <c r="E2209" s="3" t="str">
        <f>"2507017510"</f>
        <v>2507017510</v>
      </c>
      <c r="F2209" s="3" t="str">
        <f t="shared" si="212"/>
        <v>75</v>
      </c>
      <c r="G2209" s="4" t="str">
        <f>"10"</f>
        <v>10</v>
      </c>
      <c r="H2209" s="5">
        <v>0</v>
      </c>
      <c r="I2209" s="3" t="s">
        <v>11</v>
      </c>
    </row>
    <row r="2210" customHeight="1" spans="1:9">
      <c r="A2210" s="3" t="str">
        <f t="shared" si="210"/>
        <v>0107</v>
      </c>
      <c r="B2210" s="3" t="s">
        <v>22</v>
      </c>
      <c r="C2210" s="3" t="str">
        <f>"周静"</f>
        <v>周静</v>
      </c>
      <c r="D2210" s="3" t="str">
        <f t="shared" si="213"/>
        <v>女</v>
      </c>
      <c r="E2210" s="3" t="str">
        <f>"2507017511"</f>
        <v>2507017511</v>
      </c>
      <c r="F2210" s="3" t="str">
        <f t="shared" si="212"/>
        <v>75</v>
      </c>
      <c r="G2210" s="4" t="str">
        <f>"11"</f>
        <v>11</v>
      </c>
      <c r="H2210" s="5">
        <v>87.3</v>
      </c>
      <c r="I2210" s="3"/>
    </row>
    <row r="2211" customHeight="1" spans="1:9">
      <c r="A2211" s="3" t="str">
        <f t="shared" si="210"/>
        <v>0107</v>
      </c>
      <c r="B2211" s="3" t="s">
        <v>22</v>
      </c>
      <c r="C2211" s="3" t="str">
        <f>"蒋慧芳"</f>
        <v>蒋慧芳</v>
      </c>
      <c r="D2211" s="3" t="str">
        <f t="shared" si="213"/>
        <v>女</v>
      </c>
      <c r="E2211" s="3" t="str">
        <f>"2507017512"</f>
        <v>2507017512</v>
      </c>
      <c r="F2211" s="3" t="str">
        <f t="shared" si="212"/>
        <v>75</v>
      </c>
      <c r="G2211" s="4" t="str">
        <f>"12"</f>
        <v>12</v>
      </c>
      <c r="H2211" s="5">
        <v>64.7</v>
      </c>
      <c r="I2211" s="3"/>
    </row>
    <row r="2212" customHeight="1" spans="1:9">
      <c r="A2212" s="3" t="str">
        <f t="shared" si="210"/>
        <v>0107</v>
      </c>
      <c r="B2212" s="3" t="s">
        <v>22</v>
      </c>
      <c r="C2212" s="3" t="str">
        <f>"刘燕飞"</f>
        <v>刘燕飞</v>
      </c>
      <c r="D2212" s="3" t="str">
        <f t="shared" si="213"/>
        <v>女</v>
      </c>
      <c r="E2212" s="3" t="str">
        <f>"2507017513"</f>
        <v>2507017513</v>
      </c>
      <c r="F2212" s="3" t="str">
        <f t="shared" si="212"/>
        <v>75</v>
      </c>
      <c r="G2212" s="4" t="str">
        <f>"13"</f>
        <v>13</v>
      </c>
      <c r="H2212" s="5">
        <v>0</v>
      </c>
      <c r="I2212" s="3" t="s">
        <v>11</v>
      </c>
    </row>
    <row r="2213" customHeight="1" spans="1:9">
      <c r="A2213" s="3" t="str">
        <f t="shared" si="210"/>
        <v>0107</v>
      </c>
      <c r="B2213" s="3" t="s">
        <v>22</v>
      </c>
      <c r="C2213" s="3" t="str">
        <f>"王迪"</f>
        <v>王迪</v>
      </c>
      <c r="D2213" s="3" t="str">
        <f t="shared" si="213"/>
        <v>女</v>
      </c>
      <c r="E2213" s="3" t="str">
        <f>"2507017514"</f>
        <v>2507017514</v>
      </c>
      <c r="F2213" s="3" t="str">
        <f t="shared" si="212"/>
        <v>75</v>
      </c>
      <c r="G2213" s="4" t="str">
        <f>"14"</f>
        <v>14</v>
      </c>
      <c r="H2213" s="5">
        <v>77.5</v>
      </c>
      <c r="I2213" s="3"/>
    </row>
    <row r="2214" customHeight="1" spans="1:9">
      <c r="A2214" s="3" t="str">
        <f t="shared" si="210"/>
        <v>0107</v>
      </c>
      <c r="B2214" s="3" t="s">
        <v>22</v>
      </c>
      <c r="C2214" s="3" t="str">
        <f>"王倩"</f>
        <v>王倩</v>
      </c>
      <c r="D2214" s="3" t="str">
        <f t="shared" si="213"/>
        <v>女</v>
      </c>
      <c r="E2214" s="3" t="str">
        <f>"2507017515"</f>
        <v>2507017515</v>
      </c>
      <c r="F2214" s="3" t="str">
        <f t="shared" si="212"/>
        <v>75</v>
      </c>
      <c r="G2214" s="4" t="str">
        <f>"15"</f>
        <v>15</v>
      </c>
      <c r="H2214" s="5">
        <v>77.1</v>
      </c>
      <c r="I2214" s="3"/>
    </row>
    <row r="2215" customHeight="1" spans="1:9">
      <c r="A2215" s="3" t="str">
        <f t="shared" si="210"/>
        <v>0107</v>
      </c>
      <c r="B2215" s="3" t="s">
        <v>22</v>
      </c>
      <c r="C2215" s="3" t="str">
        <f>"赵晓"</f>
        <v>赵晓</v>
      </c>
      <c r="D2215" s="3" t="str">
        <f t="shared" si="213"/>
        <v>女</v>
      </c>
      <c r="E2215" s="3" t="str">
        <f>"2507017516"</f>
        <v>2507017516</v>
      </c>
      <c r="F2215" s="3" t="str">
        <f t="shared" si="212"/>
        <v>75</v>
      </c>
      <c r="G2215" s="4" t="str">
        <f>"16"</f>
        <v>16</v>
      </c>
      <c r="H2215" s="5">
        <v>75.9</v>
      </c>
      <c r="I2215" s="3"/>
    </row>
    <row r="2216" customHeight="1" spans="1:9">
      <c r="A2216" s="3" t="str">
        <f t="shared" si="210"/>
        <v>0107</v>
      </c>
      <c r="B2216" s="3" t="s">
        <v>22</v>
      </c>
      <c r="C2216" s="3" t="str">
        <f>"张雨维"</f>
        <v>张雨维</v>
      </c>
      <c r="D2216" s="3" t="str">
        <f t="shared" si="213"/>
        <v>女</v>
      </c>
      <c r="E2216" s="3" t="str">
        <f>"2507017517"</f>
        <v>2507017517</v>
      </c>
      <c r="F2216" s="3" t="str">
        <f t="shared" si="212"/>
        <v>75</v>
      </c>
      <c r="G2216" s="4" t="str">
        <f>"17"</f>
        <v>17</v>
      </c>
      <c r="H2216" s="5">
        <v>0</v>
      </c>
      <c r="I2216" s="3" t="s">
        <v>11</v>
      </c>
    </row>
    <row r="2217" customHeight="1" spans="1:9">
      <c r="A2217" s="3" t="str">
        <f t="shared" si="210"/>
        <v>0107</v>
      </c>
      <c r="B2217" s="3" t="s">
        <v>22</v>
      </c>
      <c r="C2217" s="3" t="str">
        <f>"李磊"</f>
        <v>李磊</v>
      </c>
      <c r="D2217" s="3" t="str">
        <f>"男"</f>
        <v>男</v>
      </c>
      <c r="E2217" s="3" t="str">
        <f>"2507017518"</f>
        <v>2507017518</v>
      </c>
      <c r="F2217" s="3" t="str">
        <f t="shared" si="212"/>
        <v>75</v>
      </c>
      <c r="G2217" s="4" t="str">
        <f>"18"</f>
        <v>18</v>
      </c>
      <c r="H2217" s="5">
        <v>83.7</v>
      </c>
      <c r="I2217" s="3"/>
    </row>
    <row r="2218" customHeight="1" spans="1:9">
      <c r="A2218" s="3" t="str">
        <f t="shared" si="210"/>
        <v>0107</v>
      </c>
      <c r="B2218" s="3" t="s">
        <v>22</v>
      </c>
      <c r="C2218" s="3" t="str">
        <f>"李君"</f>
        <v>李君</v>
      </c>
      <c r="D2218" s="3" t="str">
        <f>"女"</f>
        <v>女</v>
      </c>
      <c r="E2218" s="3" t="str">
        <f>"2507017519"</f>
        <v>2507017519</v>
      </c>
      <c r="F2218" s="3" t="str">
        <f t="shared" si="212"/>
        <v>75</v>
      </c>
      <c r="G2218" s="4" t="str">
        <f>"19"</f>
        <v>19</v>
      </c>
      <c r="H2218" s="5">
        <v>82.1</v>
      </c>
      <c r="I2218" s="3"/>
    </row>
    <row r="2219" customHeight="1" spans="1:9">
      <c r="A2219" s="3" t="str">
        <f t="shared" si="210"/>
        <v>0107</v>
      </c>
      <c r="B2219" s="3" t="s">
        <v>22</v>
      </c>
      <c r="C2219" s="3" t="str">
        <f>"刘俊男"</f>
        <v>刘俊男</v>
      </c>
      <c r="D2219" s="3" t="str">
        <f>"男"</f>
        <v>男</v>
      </c>
      <c r="E2219" s="3" t="str">
        <f>"2507017520"</f>
        <v>2507017520</v>
      </c>
      <c r="F2219" s="3" t="str">
        <f t="shared" si="212"/>
        <v>75</v>
      </c>
      <c r="G2219" s="4" t="str">
        <f>"20"</f>
        <v>20</v>
      </c>
      <c r="H2219" s="5">
        <v>87.9</v>
      </c>
      <c r="I2219" s="3"/>
    </row>
    <row r="2220" customHeight="1" spans="1:9">
      <c r="A2220" s="3" t="str">
        <f t="shared" si="210"/>
        <v>0107</v>
      </c>
      <c r="B2220" s="3" t="s">
        <v>22</v>
      </c>
      <c r="C2220" s="3" t="str">
        <f>"郑璨"</f>
        <v>郑璨</v>
      </c>
      <c r="D2220" s="3" t="str">
        <f>"女"</f>
        <v>女</v>
      </c>
      <c r="E2220" s="3" t="str">
        <f>"2507017521"</f>
        <v>2507017521</v>
      </c>
      <c r="F2220" s="3" t="str">
        <f t="shared" si="212"/>
        <v>75</v>
      </c>
      <c r="G2220" s="4" t="str">
        <f>"21"</f>
        <v>21</v>
      </c>
      <c r="H2220" s="5">
        <v>68.1</v>
      </c>
      <c r="I2220" s="3"/>
    </row>
    <row r="2221" customHeight="1" spans="1:9">
      <c r="A2221" s="3" t="str">
        <f t="shared" si="210"/>
        <v>0107</v>
      </c>
      <c r="B2221" s="3" t="s">
        <v>22</v>
      </c>
      <c r="C2221" s="3" t="str">
        <f>"章悦"</f>
        <v>章悦</v>
      </c>
      <c r="D2221" s="3" t="str">
        <f>"女"</f>
        <v>女</v>
      </c>
      <c r="E2221" s="3" t="str">
        <f>"2507017522"</f>
        <v>2507017522</v>
      </c>
      <c r="F2221" s="3" t="str">
        <f t="shared" si="212"/>
        <v>75</v>
      </c>
      <c r="G2221" s="4" t="str">
        <f>"22"</f>
        <v>22</v>
      </c>
      <c r="H2221" s="5">
        <v>82.9</v>
      </c>
      <c r="I2221" s="3"/>
    </row>
    <row r="2222" customHeight="1" spans="1:9">
      <c r="A2222" s="3" t="str">
        <f t="shared" si="210"/>
        <v>0107</v>
      </c>
      <c r="B2222" s="3" t="s">
        <v>22</v>
      </c>
      <c r="C2222" s="3" t="str">
        <f>"李文璐"</f>
        <v>李文璐</v>
      </c>
      <c r="D2222" s="3" t="str">
        <f>"女"</f>
        <v>女</v>
      </c>
      <c r="E2222" s="3" t="str">
        <f>"2507017523"</f>
        <v>2507017523</v>
      </c>
      <c r="F2222" s="3" t="str">
        <f t="shared" si="212"/>
        <v>75</v>
      </c>
      <c r="G2222" s="4" t="str">
        <f>"23"</f>
        <v>23</v>
      </c>
      <c r="H2222" s="5">
        <v>78.5</v>
      </c>
      <c r="I2222" s="3"/>
    </row>
    <row r="2223" customHeight="1" spans="1:9">
      <c r="A2223" s="3" t="str">
        <f t="shared" si="210"/>
        <v>0107</v>
      </c>
      <c r="B2223" s="3" t="s">
        <v>22</v>
      </c>
      <c r="C2223" s="3" t="str">
        <f>"李唯聪"</f>
        <v>李唯聪</v>
      </c>
      <c r="D2223" s="3" t="str">
        <f>"男"</f>
        <v>男</v>
      </c>
      <c r="E2223" s="3" t="str">
        <f>"2507017524"</f>
        <v>2507017524</v>
      </c>
      <c r="F2223" s="3" t="str">
        <f t="shared" si="212"/>
        <v>75</v>
      </c>
      <c r="G2223" s="4" t="str">
        <f>"24"</f>
        <v>24</v>
      </c>
      <c r="H2223" s="5">
        <v>80.4</v>
      </c>
      <c r="I2223" s="3"/>
    </row>
    <row r="2224" customHeight="1" spans="1:9">
      <c r="A2224" s="3" t="str">
        <f t="shared" si="210"/>
        <v>0107</v>
      </c>
      <c r="B2224" s="3" t="s">
        <v>22</v>
      </c>
      <c r="C2224" s="3" t="str">
        <f>"孙翔"</f>
        <v>孙翔</v>
      </c>
      <c r="D2224" s="3" t="str">
        <f>"男"</f>
        <v>男</v>
      </c>
      <c r="E2224" s="3" t="str">
        <f>"2507017525"</f>
        <v>2507017525</v>
      </c>
      <c r="F2224" s="3" t="str">
        <f t="shared" si="212"/>
        <v>75</v>
      </c>
      <c r="G2224" s="4" t="str">
        <f>"25"</f>
        <v>25</v>
      </c>
      <c r="H2224" s="5">
        <v>83.3</v>
      </c>
      <c r="I2224" s="3"/>
    </row>
    <row r="2225" customHeight="1" spans="1:9">
      <c r="A2225" s="3" t="str">
        <f t="shared" si="210"/>
        <v>0107</v>
      </c>
      <c r="B2225" s="3" t="s">
        <v>22</v>
      </c>
      <c r="C2225" s="3" t="str">
        <f>"王思琪"</f>
        <v>王思琪</v>
      </c>
      <c r="D2225" s="3" t="str">
        <f>"女"</f>
        <v>女</v>
      </c>
      <c r="E2225" s="3" t="str">
        <f>"2507017526"</f>
        <v>2507017526</v>
      </c>
      <c r="F2225" s="3" t="str">
        <f t="shared" si="212"/>
        <v>75</v>
      </c>
      <c r="G2225" s="4" t="str">
        <f>"26"</f>
        <v>26</v>
      </c>
      <c r="H2225" s="5">
        <v>86.4</v>
      </c>
      <c r="I2225" s="3"/>
    </row>
    <row r="2226" customHeight="1" spans="1:9">
      <c r="A2226" s="3" t="str">
        <f t="shared" si="210"/>
        <v>0107</v>
      </c>
      <c r="B2226" s="3" t="s">
        <v>22</v>
      </c>
      <c r="C2226" s="3" t="str">
        <f>"向梦奇"</f>
        <v>向梦奇</v>
      </c>
      <c r="D2226" s="3" t="str">
        <f>"女"</f>
        <v>女</v>
      </c>
      <c r="E2226" s="3" t="str">
        <f>"2507017527"</f>
        <v>2507017527</v>
      </c>
      <c r="F2226" s="3" t="str">
        <f t="shared" si="212"/>
        <v>75</v>
      </c>
      <c r="G2226" s="4" t="str">
        <f>"27"</f>
        <v>27</v>
      </c>
      <c r="H2226" s="5">
        <v>79</v>
      </c>
      <c r="I2226" s="3"/>
    </row>
    <row r="2227" customHeight="1" spans="1:9">
      <c r="A2227" s="3" t="str">
        <f t="shared" si="210"/>
        <v>0107</v>
      </c>
      <c r="B2227" s="3" t="s">
        <v>22</v>
      </c>
      <c r="C2227" s="3" t="str">
        <f>"邵煜"</f>
        <v>邵煜</v>
      </c>
      <c r="D2227" s="3" t="str">
        <f>"男"</f>
        <v>男</v>
      </c>
      <c r="E2227" s="3" t="str">
        <f>"2507017528"</f>
        <v>2507017528</v>
      </c>
      <c r="F2227" s="3" t="str">
        <f t="shared" si="212"/>
        <v>75</v>
      </c>
      <c r="G2227" s="4" t="str">
        <f>"28"</f>
        <v>28</v>
      </c>
      <c r="H2227" s="5">
        <v>78.4</v>
      </c>
      <c r="I2227" s="3"/>
    </row>
    <row r="2228" customHeight="1" spans="1:9">
      <c r="A2228" s="3" t="str">
        <f t="shared" si="210"/>
        <v>0107</v>
      </c>
      <c r="B2228" s="3" t="s">
        <v>22</v>
      </c>
      <c r="C2228" s="3" t="str">
        <f>"曹雨荷"</f>
        <v>曹雨荷</v>
      </c>
      <c r="D2228" s="3" t="str">
        <f>"女"</f>
        <v>女</v>
      </c>
      <c r="E2228" s="3" t="str">
        <f>"2507017529"</f>
        <v>2507017529</v>
      </c>
      <c r="F2228" s="3" t="str">
        <f t="shared" si="212"/>
        <v>75</v>
      </c>
      <c r="G2228" s="4" t="str">
        <f>"29"</f>
        <v>29</v>
      </c>
      <c r="H2228" s="5">
        <v>65.3</v>
      </c>
      <c r="I2228" s="3"/>
    </row>
    <row r="2229" customHeight="1" spans="1:9">
      <c r="A2229" s="3" t="str">
        <f t="shared" si="210"/>
        <v>0107</v>
      </c>
      <c r="B2229" s="3" t="s">
        <v>22</v>
      </c>
      <c r="C2229" s="3" t="str">
        <f>"孙金金"</f>
        <v>孙金金</v>
      </c>
      <c r="D2229" s="3" t="str">
        <f>"男"</f>
        <v>男</v>
      </c>
      <c r="E2229" s="3" t="str">
        <f>"2507017530"</f>
        <v>2507017530</v>
      </c>
      <c r="F2229" s="3" t="str">
        <f t="shared" si="212"/>
        <v>75</v>
      </c>
      <c r="G2229" s="4" t="str">
        <f>"30"</f>
        <v>30</v>
      </c>
      <c r="H2229" s="5">
        <v>83.3</v>
      </c>
      <c r="I2229" s="3"/>
    </row>
    <row r="2230" customHeight="1" spans="1:9">
      <c r="A2230" s="3" t="str">
        <f t="shared" si="210"/>
        <v>0107</v>
      </c>
      <c r="B2230" s="3" t="s">
        <v>22</v>
      </c>
      <c r="C2230" s="3" t="str">
        <f>"王维"</f>
        <v>王维</v>
      </c>
      <c r="D2230" s="3" t="str">
        <f t="shared" ref="D2230:D2246" si="214">"女"</f>
        <v>女</v>
      </c>
      <c r="E2230" s="3" t="str">
        <f>"2507017601"</f>
        <v>2507017601</v>
      </c>
      <c r="F2230" s="3" t="str">
        <f t="shared" ref="F2230:F2259" si="215">"76"</f>
        <v>76</v>
      </c>
      <c r="G2230" s="4" t="str">
        <f>"01"</f>
        <v>01</v>
      </c>
      <c r="H2230" s="5">
        <v>81.3</v>
      </c>
      <c r="I2230" s="3"/>
    </row>
    <row r="2231" customHeight="1" spans="1:9">
      <c r="A2231" s="3" t="str">
        <f t="shared" si="210"/>
        <v>0107</v>
      </c>
      <c r="B2231" s="3" t="s">
        <v>22</v>
      </c>
      <c r="C2231" s="3" t="str">
        <f>"张逸群"</f>
        <v>张逸群</v>
      </c>
      <c r="D2231" s="3" t="str">
        <f t="shared" si="214"/>
        <v>女</v>
      </c>
      <c r="E2231" s="3" t="str">
        <f>"2507017602"</f>
        <v>2507017602</v>
      </c>
      <c r="F2231" s="3" t="str">
        <f t="shared" si="215"/>
        <v>76</v>
      </c>
      <c r="G2231" s="4" t="str">
        <f>"02"</f>
        <v>02</v>
      </c>
      <c r="H2231" s="5">
        <v>71.2</v>
      </c>
      <c r="I2231" s="3"/>
    </row>
    <row r="2232" customHeight="1" spans="1:9">
      <c r="A2232" s="3" t="str">
        <f t="shared" si="210"/>
        <v>0107</v>
      </c>
      <c r="B2232" s="3" t="s">
        <v>22</v>
      </c>
      <c r="C2232" s="3" t="str">
        <f>"李嘉莹"</f>
        <v>李嘉莹</v>
      </c>
      <c r="D2232" s="3" t="str">
        <f t="shared" si="214"/>
        <v>女</v>
      </c>
      <c r="E2232" s="3" t="str">
        <f>"2507017603"</f>
        <v>2507017603</v>
      </c>
      <c r="F2232" s="3" t="str">
        <f t="shared" si="215"/>
        <v>76</v>
      </c>
      <c r="G2232" s="4" t="str">
        <f>"03"</f>
        <v>03</v>
      </c>
      <c r="H2232" s="5">
        <v>0</v>
      </c>
      <c r="I2232" s="3" t="s">
        <v>11</v>
      </c>
    </row>
    <row r="2233" customHeight="1" spans="1:9">
      <c r="A2233" s="3" t="str">
        <f t="shared" si="210"/>
        <v>0107</v>
      </c>
      <c r="B2233" s="3" t="s">
        <v>22</v>
      </c>
      <c r="C2233" s="3" t="str">
        <f>"常钰圆"</f>
        <v>常钰圆</v>
      </c>
      <c r="D2233" s="3" t="str">
        <f t="shared" si="214"/>
        <v>女</v>
      </c>
      <c r="E2233" s="3" t="str">
        <f>"2507017604"</f>
        <v>2507017604</v>
      </c>
      <c r="F2233" s="3" t="str">
        <f t="shared" si="215"/>
        <v>76</v>
      </c>
      <c r="G2233" s="4" t="str">
        <f>"04"</f>
        <v>04</v>
      </c>
      <c r="H2233" s="5">
        <v>83.1</v>
      </c>
      <c r="I2233" s="3"/>
    </row>
    <row r="2234" customHeight="1" spans="1:9">
      <c r="A2234" s="3" t="str">
        <f t="shared" si="210"/>
        <v>0107</v>
      </c>
      <c r="B2234" s="3" t="s">
        <v>22</v>
      </c>
      <c r="C2234" s="3" t="str">
        <f>"茆雅静"</f>
        <v>茆雅静</v>
      </c>
      <c r="D2234" s="3" t="str">
        <f t="shared" si="214"/>
        <v>女</v>
      </c>
      <c r="E2234" s="3" t="str">
        <f>"2507017605"</f>
        <v>2507017605</v>
      </c>
      <c r="F2234" s="3" t="str">
        <f t="shared" si="215"/>
        <v>76</v>
      </c>
      <c r="G2234" s="4" t="str">
        <f>"05"</f>
        <v>05</v>
      </c>
      <c r="H2234" s="5">
        <v>58.6</v>
      </c>
      <c r="I2234" s="3"/>
    </row>
    <row r="2235" customHeight="1" spans="1:9">
      <c r="A2235" s="3" t="str">
        <f t="shared" si="210"/>
        <v>0107</v>
      </c>
      <c r="B2235" s="3" t="s">
        <v>22</v>
      </c>
      <c r="C2235" s="3" t="str">
        <f>"张雨婷"</f>
        <v>张雨婷</v>
      </c>
      <c r="D2235" s="3" t="str">
        <f t="shared" si="214"/>
        <v>女</v>
      </c>
      <c r="E2235" s="3" t="str">
        <f>"2507017606"</f>
        <v>2507017606</v>
      </c>
      <c r="F2235" s="3" t="str">
        <f t="shared" si="215"/>
        <v>76</v>
      </c>
      <c r="G2235" s="4" t="str">
        <f>"06"</f>
        <v>06</v>
      </c>
      <c r="H2235" s="5">
        <v>76</v>
      </c>
      <c r="I2235" s="3"/>
    </row>
    <row r="2236" customHeight="1" spans="1:9">
      <c r="A2236" s="3" t="str">
        <f t="shared" si="210"/>
        <v>0107</v>
      </c>
      <c r="B2236" s="3" t="s">
        <v>22</v>
      </c>
      <c r="C2236" s="3" t="str">
        <f>"吕永纯"</f>
        <v>吕永纯</v>
      </c>
      <c r="D2236" s="3" t="str">
        <f t="shared" si="214"/>
        <v>女</v>
      </c>
      <c r="E2236" s="3" t="str">
        <f>"2507017607"</f>
        <v>2507017607</v>
      </c>
      <c r="F2236" s="3" t="str">
        <f t="shared" si="215"/>
        <v>76</v>
      </c>
      <c r="G2236" s="4" t="str">
        <f>"07"</f>
        <v>07</v>
      </c>
      <c r="H2236" s="5">
        <v>77.9</v>
      </c>
      <c r="I2236" s="3"/>
    </row>
    <row r="2237" customHeight="1" spans="1:9">
      <c r="A2237" s="3" t="str">
        <f t="shared" si="210"/>
        <v>0107</v>
      </c>
      <c r="B2237" s="3" t="s">
        <v>22</v>
      </c>
      <c r="C2237" s="3" t="str">
        <f>"田雨"</f>
        <v>田雨</v>
      </c>
      <c r="D2237" s="3" t="str">
        <f t="shared" si="214"/>
        <v>女</v>
      </c>
      <c r="E2237" s="3" t="str">
        <f>"2507017608"</f>
        <v>2507017608</v>
      </c>
      <c r="F2237" s="3" t="str">
        <f t="shared" si="215"/>
        <v>76</v>
      </c>
      <c r="G2237" s="4" t="str">
        <f>"08"</f>
        <v>08</v>
      </c>
      <c r="H2237" s="5">
        <v>74.6</v>
      </c>
      <c r="I2237" s="3"/>
    </row>
    <row r="2238" customHeight="1" spans="1:9">
      <c r="A2238" s="3" t="str">
        <f t="shared" ref="A2238:A2301" si="216">"0107"</f>
        <v>0107</v>
      </c>
      <c r="B2238" s="3" t="s">
        <v>22</v>
      </c>
      <c r="C2238" s="3" t="str">
        <f>"王依娜"</f>
        <v>王依娜</v>
      </c>
      <c r="D2238" s="3" t="str">
        <f t="shared" si="214"/>
        <v>女</v>
      </c>
      <c r="E2238" s="3" t="str">
        <f>"2507017609"</f>
        <v>2507017609</v>
      </c>
      <c r="F2238" s="3" t="str">
        <f t="shared" si="215"/>
        <v>76</v>
      </c>
      <c r="G2238" s="4" t="str">
        <f>"09"</f>
        <v>09</v>
      </c>
      <c r="H2238" s="5">
        <v>73.1</v>
      </c>
      <c r="I2238" s="3"/>
    </row>
    <row r="2239" customHeight="1" spans="1:9">
      <c r="A2239" s="3" t="str">
        <f t="shared" si="216"/>
        <v>0107</v>
      </c>
      <c r="B2239" s="3" t="s">
        <v>22</v>
      </c>
      <c r="C2239" s="3" t="str">
        <f>"梁莹"</f>
        <v>梁莹</v>
      </c>
      <c r="D2239" s="3" t="str">
        <f t="shared" si="214"/>
        <v>女</v>
      </c>
      <c r="E2239" s="3" t="str">
        <f>"2507017610"</f>
        <v>2507017610</v>
      </c>
      <c r="F2239" s="3" t="str">
        <f t="shared" si="215"/>
        <v>76</v>
      </c>
      <c r="G2239" s="4" t="str">
        <f>"10"</f>
        <v>10</v>
      </c>
      <c r="H2239" s="5">
        <v>83.7</v>
      </c>
      <c r="I2239" s="3"/>
    </row>
    <row r="2240" customHeight="1" spans="1:9">
      <c r="A2240" s="3" t="str">
        <f t="shared" si="216"/>
        <v>0107</v>
      </c>
      <c r="B2240" s="3" t="s">
        <v>22</v>
      </c>
      <c r="C2240" s="3" t="str">
        <f>"王思皖"</f>
        <v>王思皖</v>
      </c>
      <c r="D2240" s="3" t="str">
        <f t="shared" si="214"/>
        <v>女</v>
      </c>
      <c r="E2240" s="3" t="str">
        <f>"2507017611"</f>
        <v>2507017611</v>
      </c>
      <c r="F2240" s="3" t="str">
        <f t="shared" si="215"/>
        <v>76</v>
      </c>
      <c r="G2240" s="4" t="str">
        <f>"11"</f>
        <v>11</v>
      </c>
      <c r="H2240" s="5">
        <v>87.6</v>
      </c>
      <c r="I2240" s="3"/>
    </row>
    <row r="2241" customHeight="1" spans="1:9">
      <c r="A2241" s="3" t="str">
        <f t="shared" si="216"/>
        <v>0107</v>
      </c>
      <c r="B2241" s="3" t="s">
        <v>22</v>
      </c>
      <c r="C2241" s="3" t="str">
        <f>"朱雨萱"</f>
        <v>朱雨萱</v>
      </c>
      <c r="D2241" s="3" t="str">
        <f t="shared" si="214"/>
        <v>女</v>
      </c>
      <c r="E2241" s="3" t="str">
        <f>"2507017612"</f>
        <v>2507017612</v>
      </c>
      <c r="F2241" s="3" t="str">
        <f t="shared" si="215"/>
        <v>76</v>
      </c>
      <c r="G2241" s="4" t="str">
        <f>"12"</f>
        <v>12</v>
      </c>
      <c r="H2241" s="5">
        <v>70.1</v>
      </c>
      <c r="I2241" s="3"/>
    </row>
    <row r="2242" customHeight="1" spans="1:9">
      <c r="A2242" s="3" t="str">
        <f t="shared" si="216"/>
        <v>0107</v>
      </c>
      <c r="B2242" s="3" t="s">
        <v>22</v>
      </c>
      <c r="C2242" s="3" t="str">
        <f>"曹园园"</f>
        <v>曹园园</v>
      </c>
      <c r="D2242" s="3" t="str">
        <f t="shared" si="214"/>
        <v>女</v>
      </c>
      <c r="E2242" s="3" t="str">
        <f>"2507017613"</f>
        <v>2507017613</v>
      </c>
      <c r="F2242" s="3" t="str">
        <f t="shared" si="215"/>
        <v>76</v>
      </c>
      <c r="G2242" s="4" t="str">
        <f>"13"</f>
        <v>13</v>
      </c>
      <c r="H2242" s="5">
        <v>68.8</v>
      </c>
      <c r="I2242" s="3"/>
    </row>
    <row r="2243" customHeight="1" spans="1:9">
      <c r="A2243" s="3" t="str">
        <f t="shared" si="216"/>
        <v>0107</v>
      </c>
      <c r="B2243" s="3" t="s">
        <v>22</v>
      </c>
      <c r="C2243" s="3" t="str">
        <f>"刘文璨"</f>
        <v>刘文璨</v>
      </c>
      <c r="D2243" s="3" t="str">
        <f t="shared" si="214"/>
        <v>女</v>
      </c>
      <c r="E2243" s="3" t="str">
        <f>"2507017614"</f>
        <v>2507017614</v>
      </c>
      <c r="F2243" s="3" t="str">
        <f t="shared" si="215"/>
        <v>76</v>
      </c>
      <c r="G2243" s="4" t="str">
        <f>"14"</f>
        <v>14</v>
      </c>
      <c r="H2243" s="5">
        <v>0</v>
      </c>
      <c r="I2243" s="3" t="s">
        <v>11</v>
      </c>
    </row>
    <row r="2244" customHeight="1" spans="1:9">
      <c r="A2244" s="3" t="str">
        <f t="shared" si="216"/>
        <v>0107</v>
      </c>
      <c r="B2244" s="3" t="s">
        <v>22</v>
      </c>
      <c r="C2244" s="3" t="str">
        <f>"徐菀泽"</f>
        <v>徐菀泽</v>
      </c>
      <c r="D2244" s="3" t="str">
        <f t="shared" si="214"/>
        <v>女</v>
      </c>
      <c r="E2244" s="3" t="str">
        <f>"2507017615"</f>
        <v>2507017615</v>
      </c>
      <c r="F2244" s="3" t="str">
        <f t="shared" si="215"/>
        <v>76</v>
      </c>
      <c r="G2244" s="4" t="str">
        <f>"15"</f>
        <v>15</v>
      </c>
      <c r="H2244" s="5">
        <v>0</v>
      </c>
      <c r="I2244" s="3" t="s">
        <v>11</v>
      </c>
    </row>
    <row r="2245" customHeight="1" spans="1:9">
      <c r="A2245" s="3" t="str">
        <f t="shared" si="216"/>
        <v>0107</v>
      </c>
      <c r="B2245" s="3" t="s">
        <v>22</v>
      </c>
      <c r="C2245" s="3" t="str">
        <f>"张杨"</f>
        <v>张杨</v>
      </c>
      <c r="D2245" s="3" t="str">
        <f t="shared" si="214"/>
        <v>女</v>
      </c>
      <c r="E2245" s="3" t="str">
        <f>"2507017616"</f>
        <v>2507017616</v>
      </c>
      <c r="F2245" s="3" t="str">
        <f t="shared" si="215"/>
        <v>76</v>
      </c>
      <c r="G2245" s="4" t="str">
        <f>"16"</f>
        <v>16</v>
      </c>
      <c r="H2245" s="5">
        <v>0</v>
      </c>
      <c r="I2245" s="3" t="s">
        <v>11</v>
      </c>
    </row>
    <row r="2246" customHeight="1" spans="1:9">
      <c r="A2246" s="3" t="str">
        <f t="shared" si="216"/>
        <v>0107</v>
      </c>
      <c r="B2246" s="3" t="s">
        <v>22</v>
      </c>
      <c r="C2246" s="3" t="str">
        <f>"王宇"</f>
        <v>王宇</v>
      </c>
      <c r="D2246" s="3" t="str">
        <f t="shared" si="214"/>
        <v>女</v>
      </c>
      <c r="E2246" s="3" t="str">
        <f>"2507017617"</f>
        <v>2507017617</v>
      </c>
      <c r="F2246" s="3" t="str">
        <f t="shared" si="215"/>
        <v>76</v>
      </c>
      <c r="G2246" s="4" t="str">
        <f>"17"</f>
        <v>17</v>
      </c>
      <c r="H2246" s="5">
        <v>84.4</v>
      </c>
      <c r="I2246" s="3"/>
    </row>
    <row r="2247" customHeight="1" spans="1:9">
      <c r="A2247" s="3" t="str">
        <f t="shared" si="216"/>
        <v>0107</v>
      </c>
      <c r="B2247" s="3" t="s">
        <v>22</v>
      </c>
      <c r="C2247" s="3" t="str">
        <f>"梁泰材"</f>
        <v>梁泰材</v>
      </c>
      <c r="D2247" s="3" t="str">
        <f>"男"</f>
        <v>男</v>
      </c>
      <c r="E2247" s="3" t="str">
        <f>"2507017618"</f>
        <v>2507017618</v>
      </c>
      <c r="F2247" s="3" t="str">
        <f t="shared" si="215"/>
        <v>76</v>
      </c>
      <c r="G2247" s="4" t="str">
        <f>"18"</f>
        <v>18</v>
      </c>
      <c r="H2247" s="5">
        <v>0</v>
      </c>
      <c r="I2247" s="3" t="s">
        <v>11</v>
      </c>
    </row>
    <row r="2248" customHeight="1" spans="1:9">
      <c r="A2248" s="3" t="str">
        <f t="shared" si="216"/>
        <v>0107</v>
      </c>
      <c r="B2248" s="3" t="s">
        <v>22</v>
      </c>
      <c r="C2248" s="3" t="str">
        <f>"孟芮西"</f>
        <v>孟芮西</v>
      </c>
      <c r="D2248" s="3" t="str">
        <f t="shared" ref="D2248:D2253" si="217">"女"</f>
        <v>女</v>
      </c>
      <c r="E2248" s="3" t="str">
        <f>"2507017619"</f>
        <v>2507017619</v>
      </c>
      <c r="F2248" s="3" t="str">
        <f t="shared" si="215"/>
        <v>76</v>
      </c>
      <c r="G2248" s="4" t="str">
        <f>"19"</f>
        <v>19</v>
      </c>
      <c r="H2248" s="5">
        <v>76</v>
      </c>
      <c r="I2248" s="3"/>
    </row>
    <row r="2249" customHeight="1" spans="1:9">
      <c r="A2249" s="3" t="str">
        <f t="shared" si="216"/>
        <v>0107</v>
      </c>
      <c r="B2249" s="3" t="s">
        <v>22</v>
      </c>
      <c r="C2249" s="3" t="str">
        <f>"刘小玲"</f>
        <v>刘小玲</v>
      </c>
      <c r="D2249" s="3" t="str">
        <f t="shared" si="217"/>
        <v>女</v>
      </c>
      <c r="E2249" s="3" t="str">
        <f>"2507017620"</f>
        <v>2507017620</v>
      </c>
      <c r="F2249" s="3" t="str">
        <f t="shared" si="215"/>
        <v>76</v>
      </c>
      <c r="G2249" s="4" t="str">
        <f>"20"</f>
        <v>20</v>
      </c>
      <c r="H2249" s="5">
        <v>0</v>
      </c>
      <c r="I2249" s="3" t="s">
        <v>11</v>
      </c>
    </row>
    <row r="2250" customHeight="1" spans="1:9">
      <c r="A2250" s="3" t="str">
        <f t="shared" si="216"/>
        <v>0107</v>
      </c>
      <c r="B2250" s="3" t="s">
        <v>22</v>
      </c>
      <c r="C2250" s="3" t="str">
        <f>"聂睿"</f>
        <v>聂睿</v>
      </c>
      <c r="D2250" s="3" t="str">
        <f t="shared" si="217"/>
        <v>女</v>
      </c>
      <c r="E2250" s="3" t="str">
        <f>"2507017621"</f>
        <v>2507017621</v>
      </c>
      <c r="F2250" s="3" t="str">
        <f t="shared" si="215"/>
        <v>76</v>
      </c>
      <c r="G2250" s="4" t="str">
        <f>"21"</f>
        <v>21</v>
      </c>
      <c r="H2250" s="5">
        <v>72.7</v>
      </c>
      <c r="I2250" s="3"/>
    </row>
    <row r="2251" customHeight="1" spans="1:9">
      <c r="A2251" s="3" t="str">
        <f t="shared" si="216"/>
        <v>0107</v>
      </c>
      <c r="B2251" s="3" t="s">
        <v>22</v>
      </c>
      <c r="C2251" s="3" t="str">
        <f>"涂好"</f>
        <v>涂好</v>
      </c>
      <c r="D2251" s="3" t="str">
        <f t="shared" si="217"/>
        <v>女</v>
      </c>
      <c r="E2251" s="3" t="str">
        <f>"2507017622"</f>
        <v>2507017622</v>
      </c>
      <c r="F2251" s="3" t="str">
        <f t="shared" si="215"/>
        <v>76</v>
      </c>
      <c r="G2251" s="4" t="str">
        <f>"22"</f>
        <v>22</v>
      </c>
      <c r="H2251" s="5">
        <v>83.8</v>
      </c>
      <c r="I2251" s="3"/>
    </row>
    <row r="2252" customHeight="1" spans="1:9">
      <c r="A2252" s="3" t="str">
        <f t="shared" si="216"/>
        <v>0107</v>
      </c>
      <c r="B2252" s="3" t="s">
        <v>22</v>
      </c>
      <c r="C2252" s="3" t="str">
        <f>"梁蔚"</f>
        <v>梁蔚</v>
      </c>
      <c r="D2252" s="3" t="str">
        <f t="shared" si="217"/>
        <v>女</v>
      </c>
      <c r="E2252" s="3" t="str">
        <f>"2507017623"</f>
        <v>2507017623</v>
      </c>
      <c r="F2252" s="3" t="str">
        <f t="shared" si="215"/>
        <v>76</v>
      </c>
      <c r="G2252" s="4" t="str">
        <f>"23"</f>
        <v>23</v>
      </c>
      <c r="H2252" s="5">
        <v>0</v>
      </c>
      <c r="I2252" s="3" t="s">
        <v>11</v>
      </c>
    </row>
    <row r="2253" customHeight="1" spans="1:9">
      <c r="A2253" s="3" t="str">
        <f t="shared" si="216"/>
        <v>0107</v>
      </c>
      <c r="B2253" s="3" t="s">
        <v>22</v>
      </c>
      <c r="C2253" s="3" t="str">
        <f>"赵静"</f>
        <v>赵静</v>
      </c>
      <c r="D2253" s="3" t="str">
        <f t="shared" si="217"/>
        <v>女</v>
      </c>
      <c r="E2253" s="3" t="str">
        <f>"2507017624"</f>
        <v>2507017624</v>
      </c>
      <c r="F2253" s="3" t="str">
        <f t="shared" si="215"/>
        <v>76</v>
      </c>
      <c r="G2253" s="4" t="str">
        <f>"24"</f>
        <v>24</v>
      </c>
      <c r="H2253" s="5">
        <v>0</v>
      </c>
      <c r="I2253" s="3" t="s">
        <v>11</v>
      </c>
    </row>
    <row r="2254" customHeight="1" spans="1:9">
      <c r="A2254" s="3" t="str">
        <f t="shared" si="216"/>
        <v>0107</v>
      </c>
      <c r="B2254" s="3" t="s">
        <v>22</v>
      </c>
      <c r="C2254" s="3" t="str">
        <f>"吴晔"</f>
        <v>吴晔</v>
      </c>
      <c r="D2254" s="3" t="str">
        <f>"男"</f>
        <v>男</v>
      </c>
      <c r="E2254" s="3" t="str">
        <f>"2507017625"</f>
        <v>2507017625</v>
      </c>
      <c r="F2254" s="3" t="str">
        <f t="shared" si="215"/>
        <v>76</v>
      </c>
      <c r="G2254" s="4" t="str">
        <f>"25"</f>
        <v>25</v>
      </c>
      <c r="H2254" s="5">
        <v>83.8</v>
      </c>
      <c r="I2254" s="3"/>
    </row>
    <row r="2255" customHeight="1" spans="1:9">
      <c r="A2255" s="3" t="str">
        <f t="shared" si="216"/>
        <v>0107</v>
      </c>
      <c r="B2255" s="3" t="s">
        <v>22</v>
      </c>
      <c r="C2255" s="3" t="str">
        <f>"侯沣桐"</f>
        <v>侯沣桐</v>
      </c>
      <c r="D2255" s="3" t="str">
        <f>"女"</f>
        <v>女</v>
      </c>
      <c r="E2255" s="3" t="str">
        <f>"2507017626"</f>
        <v>2507017626</v>
      </c>
      <c r="F2255" s="3" t="str">
        <f t="shared" si="215"/>
        <v>76</v>
      </c>
      <c r="G2255" s="4" t="str">
        <f>"26"</f>
        <v>26</v>
      </c>
      <c r="H2255" s="5">
        <v>0</v>
      </c>
      <c r="I2255" s="3" t="s">
        <v>11</v>
      </c>
    </row>
    <row r="2256" customHeight="1" spans="1:9">
      <c r="A2256" s="3" t="str">
        <f t="shared" si="216"/>
        <v>0107</v>
      </c>
      <c r="B2256" s="3" t="s">
        <v>22</v>
      </c>
      <c r="C2256" s="3" t="str">
        <f>"路云"</f>
        <v>路云</v>
      </c>
      <c r="D2256" s="3" t="str">
        <f>"女"</f>
        <v>女</v>
      </c>
      <c r="E2256" s="3" t="str">
        <f>"2507017627"</f>
        <v>2507017627</v>
      </c>
      <c r="F2256" s="3" t="str">
        <f t="shared" si="215"/>
        <v>76</v>
      </c>
      <c r="G2256" s="4" t="str">
        <f>"27"</f>
        <v>27</v>
      </c>
      <c r="H2256" s="5">
        <v>89.9</v>
      </c>
      <c r="I2256" s="3"/>
    </row>
    <row r="2257" customHeight="1" spans="1:9">
      <c r="A2257" s="3" t="str">
        <f t="shared" si="216"/>
        <v>0107</v>
      </c>
      <c r="B2257" s="3" t="s">
        <v>22</v>
      </c>
      <c r="C2257" s="3" t="str">
        <f>"廖涛"</f>
        <v>廖涛</v>
      </c>
      <c r="D2257" s="3" t="str">
        <f>"男"</f>
        <v>男</v>
      </c>
      <c r="E2257" s="3" t="str">
        <f>"2507017628"</f>
        <v>2507017628</v>
      </c>
      <c r="F2257" s="3" t="str">
        <f t="shared" si="215"/>
        <v>76</v>
      </c>
      <c r="G2257" s="4" t="str">
        <f>"28"</f>
        <v>28</v>
      </c>
      <c r="H2257" s="5">
        <v>67.7</v>
      </c>
      <c r="I2257" s="3"/>
    </row>
    <row r="2258" customHeight="1" spans="1:9">
      <c r="A2258" s="3" t="str">
        <f t="shared" si="216"/>
        <v>0107</v>
      </c>
      <c r="B2258" s="3" t="s">
        <v>22</v>
      </c>
      <c r="C2258" s="3" t="str">
        <f>"谷玉帅"</f>
        <v>谷玉帅</v>
      </c>
      <c r="D2258" s="3" t="str">
        <f>"男"</f>
        <v>男</v>
      </c>
      <c r="E2258" s="3" t="str">
        <f>"2507017629"</f>
        <v>2507017629</v>
      </c>
      <c r="F2258" s="3" t="str">
        <f t="shared" si="215"/>
        <v>76</v>
      </c>
      <c r="G2258" s="4" t="str">
        <f>"29"</f>
        <v>29</v>
      </c>
      <c r="H2258" s="5">
        <v>87.8</v>
      </c>
      <c r="I2258" s="3"/>
    </row>
    <row r="2259" customHeight="1" spans="1:9">
      <c r="A2259" s="3" t="str">
        <f t="shared" si="216"/>
        <v>0107</v>
      </c>
      <c r="B2259" s="3" t="s">
        <v>22</v>
      </c>
      <c r="C2259" s="3" t="str">
        <f>"刘冰"</f>
        <v>刘冰</v>
      </c>
      <c r="D2259" s="3" t="str">
        <f>"女"</f>
        <v>女</v>
      </c>
      <c r="E2259" s="3" t="str">
        <f>"2507017630"</f>
        <v>2507017630</v>
      </c>
      <c r="F2259" s="3" t="str">
        <f t="shared" si="215"/>
        <v>76</v>
      </c>
      <c r="G2259" s="4" t="str">
        <f>"30"</f>
        <v>30</v>
      </c>
      <c r="H2259" s="5">
        <v>65.5</v>
      </c>
      <c r="I2259" s="3"/>
    </row>
    <row r="2260" customHeight="1" spans="1:9">
      <c r="A2260" s="3" t="str">
        <f t="shared" si="216"/>
        <v>0107</v>
      </c>
      <c r="B2260" s="3" t="s">
        <v>22</v>
      </c>
      <c r="C2260" s="3" t="str">
        <f>"龚呈昊"</f>
        <v>龚呈昊</v>
      </c>
      <c r="D2260" s="3" t="str">
        <f>"男"</f>
        <v>男</v>
      </c>
      <c r="E2260" s="3" t="str">
        <f>"2507017701"</f>
        <v>2507017701</v>
      </c>
      <c r="F2260" s="3" t="str">
        <f t="shared" ref="F2260:F2289" si="218">"77"</f>
        <v>77</v>
      </c>
      <c r="G2260" s="4" t="str">
        <f>"01"</f>
        <v>01</v>
      </c>
      <c r="H2260" s="5">
        <v>56</v>
      </c>
      <c r="I2260" s="3"/>
    </row>
    <row r="2261" customHeight="1" spans="1:9">
      <c r="A2261" s="3" t="str">
        <f t="shared" si="216"/>
        <v>0107</v>
      </c>
      <c r="B2261" s="3" t="s">
        <v>22</v>
      </c>
      <c r="C2261" s="3" t="str">
        <f>"刘甜甜"</f>
        <v>刘甜甜</v>
      </c>
      <c r="D2261" s="3" t="str">
        <f>"女"</f>
        <v>女</v>
      </c>
      <c r="E2261" s="3" t="str">
        <f>"2507017702"</f>
        <v>2507017702</v>
      </c>
      <c r="F2261" s="3" t="str">
        <f t="shared" si="218"/>
        <v>77</v>
      </c>
      <c r="G2261" s="4" t="str">
        <f>"02"</f>
        <v>02</v>
      </c>
      <c r="H2261" s="5">
        <v>80</v>
      </c>
      <c r="I2261" s="3"/>
    </row>
    <row r="2262" customHeight="1" spans="1:9">
      <c r="A2262" s="3" t="str">
        <f t="shared" si="216"/>
        <v>0107</v>
      </c>
      <c r="B2262" s="3" t="s">
        <v>22</v>
      </c>
      <c r="C2262" s="3" t="str">
        <f>"李怡凡"</f>
        <v>李怡凡</v>
      </c>
      <c r="D2262" s="3" t="str">
        <f>"女"</f>
        <v>女</v>
      </c>
      <c r="E2262" s="3" t="str">
        <f>"2507017703"</f>
        <v>2507017703</v>
      </c>
      <c r="F2262" s="3" t="str">
        <f t="shared" si="218"/>
        <v>77</v>
      </c>
      <c r="G2262" s="4" t="str">
        <f>"03"</f>
        <v>03</v>
      </c>
      <c r="H2262" s="5">
        <v>84.2</v>
      </c>
      <c r="I2262" s="3"/>
    </row>
    <row r="2263" customHeight="1" spans="1:9">
      <c r="A2263" s="3" t="str">
        <f t="shared" si="216"/>
        <v>0107</v>
      </c>
      <c r="B2263" s="3" t="s">
        <v>22</v>
      </c>
      <c r="C2263" s="3" t="str">
        <f>"成笑笑"</f>
        <v>成笑笑</v>
      </c>
      <c r="D2263" s="3" t="str">
        <f>"女"</f>
        <v>女</v>
      </c>
      <c r="E2263" s="3" t="str">
        <f>"2507017704"</f>
        <v>2507017704</v>
      </c>
      <c r="F2263" s="3" t="str">
        <f t="shared" si="218"/>
        <v>77</v>
      </c>
      <c r="G2263" s="4" t="str">
        <f>"04"</f>
        <v>04</v>
      </c>
      <c r="H2263" s="5">
        <v>89.4</v>
      </c>
      <c r="I2263" s="3"/>
    </row>
    <row r="2264" customHeight="1" spans="1:9">
      <c r="A2264" s="3" t="str">
        <f t="shared" si="216"/>
        <v>0107</v>
      </c>
      <c r="B2264" s="3" t="s">
        <v>22</v>
      </c>
      <c r="C2264" s="3" t="str">
        <f>"刘金鑫"</f>
        <v>刘金鑫</v>
      </c>
      <c r="D2264" s="3" t="str">
        <f>"男"</f>
        <v>男</v>
      </c>
      <c r="E2264" s="3" t="str">
        <f>"2507017705"</f>
        <v>2507017705</v>
      </c>
      <c r="F2264" s="3" t="str">
        <f t="shared" si="218"/>
        <v>77</v>
      </c>
      <c r="G2264" s="4" t="str">
        <f>"05"</f>
        <v>05</v>
      </c>
      <c r="H2264" s="5">
        <v>60.1</v>
      </c>
      <c r="I2264" s="3"/>
    </row>
    <row r="2265" customHeight="1" spans="1:9">
      <c r="A2265" s="3" t="str">
        <f t="shared" si="216"/>
        <v>0107</v>
      </c>
      <c r="B2265" s="3" t="s">
        <v>22</v>
      </c>
      <c r="C2265" s="3" t="str">
        <f>"胡译心"</f>
        <v>胡译心</v>
      </c>
      <c r="D2265" s="3" t="str">
        <f>"女"</f>
        <v>女</v>
      </c>
      <c r="E2265" s="3" t="str">
        <f>"2507017706"</f>
        <v>2507017706</v>
      </c>
      <c r="F2265" s="3" t="str">
        <f t="shared" si="218"/>
        <v>77</v>
      </c>
      <c r="G2265" s="4" t="str">
        <f>"06"</f>
        <v>06</v>
      </c>
      <c r="H2265" s="5">
        <v>0</v>
      </c>
      <c r="I2265" s="3" t="s">
        <v>11</v>
      </c>
    </row>
    <row r="2266" customHeight="1" spans="1:9">
      <c r="A2266" s="3" t="str">
        <f t="shared" si="216"/>
        <v>0107</v>
      </c>
      <c r="B2266" s="3" t="s">
        <v>22</v>
      </c>
      <c r="C2266" s="3" t="str">
        <f>"张楚"</f>
        <v>张楚</v>
      </c>
      <c r="D2266" s="3" t="str">
        <f>"女"</f>
        <v>女</v>
      </c>
      <c r="E2266" s="3" t="str">
        <f>"2507017707"</f>
        <v>2507017707</v>
      </c>
      <c r="F2266" s="3" t="str">
        <f t="shared" si="218"/>
        <v>77</v>
      </c>
      <c r="G2266" s="4" t="str">
        <f>"07"</f>
        <v>07</v>
      </c>
      <c r="H2266" s="5">
        <v>0</v>
      </c>
      <c r="I2266" s="3" t="s">
        <v>11</v>
      </c>
    </row>
    <row r="2267" customHeight="1" spans="1:9">
      <c r="A2267" s="3" t="str">
        <f t="shared" si="216"/>
        <v>0107</v>
      </c>
      <c r="B2267" s="3" t="s">
        <v>22</v>
      </c>
      <c r="C2267" s="3" t="str">
        <f>"侯铁男"</f>
        <v>侯铁男</v>
      </c>
      <c r="D2267" s="3" t="str">
        <f>"男"</f>
        <v>男</v>
      </c>
      <c r="E2267" s="3" t="str">
        <f>"2507017708"</f>
        <v>2507017708</v>
      </c>
      <c r="F2267" s="3" t="str">
        <f t="shared" si="218"/>
        <v>77</v>
      </c>
      <c r="G2267" s="4" t="str">
        <f>"08"</f>
        <v>08</v>
      </c>
      <c r="H2267" s="5">
        <v>82.5</v>
      </c>
      <c r="I2267" s="3"/>
    </row>
    <row r="2268" customHeight="1" spans="1:9">
      <c r="A2268" s="3" t="str">
        <f t="shared" si="216"/>
        <v>0107</v>
      </c>
      <c r="B2268" s="3" t="s">
        <v>22</v>
      </c>
      <c r="C2268" s="3" t="str">
        <f>"佟雯雯"</f>
        <v>佟雯雯</v>
      </c>
      <c r="D2268" s="3" t="str">
        <f t="shared" ref="D2268:D2273" si="219">"女"</f>
        <v>女</v>
      </c>
      <c r="E2268" s="3" t="str">
        <f>"2507017709"</f>
        <v>2507017709</v>
      </c>
      <c r="F2268" s="3" t="str">
        <f t="shared" si="218"/>
        <v>77</v>
      </c>
      <c r="G2268" s="4" t="str">
        <f>"09"</f>
        <v>09</v>
      </c>
      <c r="H2268" s="5">
        <v>59.7</v>
      </c>
      <c r="I2268" s="3"/>
    </row>
    <row r="2269" customHeight="1" spans="1:9">
      <c r="A2269" s="3" t="str">
        <f t="shared" si="216"/>
        <v>0107</v>
      </c>
      <c r="B2269" s="3" t="s">
        <v>22</v>
      </c>
      <c r="C2269" s="3" t="str">
        <f>"李娇娇"</f>
        <v>李娇娇</v>
      </c>
      <c r="D2269" s="3" t="str">
        <f t="shared" si="219"/>
        <v>女</v>
      </c>
      <c r="E2269" s="3" t="str">
        <f>"2507017710"</f>
        <v>2507017710</v>
      </c>
      <c r="F2269" s="3" t="str">
        <f t="shared" si="218"/>
        <v>77</v>
      </c>
      <c r="G2269" s="4" t="str">
        <f>"10"</f>
        <v>10</v>
      </c>
      <c r="H2269" s="5">
        <v>68.1</v>
      </c>
      <c r="I2269" s="3"/>
    </row>
    <row r="2270" customHeight="1" spans="1:9">
      <c r="A2270" s="3" t="str">
        <f t="shared" si="216"/>
        <v>0107</v>
      </c>
      <c r="B2270" s="3" t="s">
        <v>22</v>
      </c>
      <c r="C2270" s="3" t="str">
        <f>"祁春"</f>
        <v>祁春</v>
      </c>
      <c r="D2270" s="3" t="str">
        <f t="shared" si="219"/>
        <v>女</v>
      </c>
      <c r="E2270" s="3" t="str">
        <f>"2507017711"</f>
        <v>2507017711</v>
      </c>
      <c r="F2270" s="3" t="str">
        <f t="shared" si="218"/>
        <v>77</v>
      </c>
      <c r="G2270" s="4" t="str">
        <f>"11"</f>
        <v>11</v>
      </c>
      <c r="H2270" s="5">
        <v>51.5</v>
      </c>
      <c r="I2270" s="3"/>
    </row>
    <row r="2271" customHeight="1" spans="1:9">
      <c r="A2271" s="3" t="str">
        <f t="shared" si="216"/>
        <v>0107</v>
      </c>
      <c r="B2271" s="3" t="s">
        <v>22</v>
      </c>
      <c r="C2271" s="3" t="str">
        <f>"张佩"</f>
        <v>张佩</v>
      </c>
      <c r="D2271" s="3" t="str">
        <f t="shared" si="219"/>
        <v>女</v>
      </c>
      <c r="E2271" s="3" t="str">
        <f>"2507017712"</f>
        <v>2507017712</v>
      </c>
      <c r="F2271" s="3" t="str">
        <f t="shared" si="218"/>
        <v>77</v>
      </c>
      <c r="G2271" s="4" t="str">
        <f>"12"</f>
        <v>12</v>
      </c>
      <c r="H2271" s="5">
        <v>0</v>
      </c>
      <c r="I2271" s="3" t="s">
        <v>11</v>
      </c>
    </row>
    <row r="2272" customHeight="1" spans="1:9">
      <c r="A2272" s="3" t="str">
        <f t="shared" si="216"/>
        <v>0107</v>
      </c>
      <c r="B2272" s="3" t="s">
        <v>22</v>
      </c>
      <c r="C2272" s="3" t="str">
        <f>"张铃然"</f>
        <v>张铃然</v>
      </c>
      <c r="D2272" s="3" t="str">
        <f t="shared" si="219"/>
        <v>女</v>
      </c>
      <c r="E2272" s="3" t="str">
        <f>"2507017713"</f>
        <v>2507017713</v>
      </c>
      <c r="F2272" s="3" t="str">
        <f t="shared" si="218"/>
        <v>77</v>
      </c>
      <c r="G2272" s="4" t="str">
        <f>"13"</f>
        <v>13</v>
      </c>
      <c r="H2272" s="5">
        <v>70.4</v>
      </c>
      <c r="I2272" s="3"/>
    </row>
    <row r="2273" customHeight="1" spans="1:9">
      <c r="A2273" s="3" t="str">
        <f t="shared" si="216"/>
        <v>0107</v>
      </c>
      <c r="B2273" s="3" t="s">
        <v>22</v>
      </c>
      <c r="C2273" s="3" t="str">
        <f>"王璐"</f>
        <v>王璐</v>
      </c>
      <c r="D2273" s="3" t="str">
        <f t="shared" si="219"/>
        <v>女</v>
      </c>
      <c r="E2273" s="3" t="str">
        <f>"2507017714"</f>
        <v>2507017714</v>
      </c>
      <c r="F2273" s="3" t="str">
        <f t="shared" si="218"/>
        <v>77</v>
      </c>
      <c r="G2273" s="4" t="str">
        <f>"14"</f>
        <v>14</v>
      </c>
      <c r="H2273" s="5">
        <v>82.2</v>
      </c>
      <c r="I2273" s="3"/>
    </row>
    <row r="2274" customHeight="1" spans="1:9">
      <c r="A2274" s="3" t="str">
        <f t="shared" si="216"/>
        <v>0107</v>
      </c>
      <c r="B2274" s="3" t="s">
        <v>22</v>
      </c>
      <c r="C2274" s="3" t="str">
        <f>"李赞"</f>
        <v>李赞</v>
      </c>
      <c r="D2274" s="3" t="str">
        <f>"男"</f>
        <v>男</v>
      </c>
      <c r="E2274" s="3" t="str">
        <f>"2507017715"</f>
        <v>2507017715</v>
      </c>
      <c r="F2274" s="3" t="str">
        <f t="shared" si="218"/>
        <v>77</v>
      </c>
      <c r="G2274" s="4" t="str">
        <f>"15"</f>
        <v>15</v>
      </c>
      <c r="H2274" s="5">
        <v>65.8</v>
      </c>
      <c r="I2274" s="3"/>
    </row>
    <row r="2275" customHeight="1" spans="1:9">
      <c r="A2275" s="3" t="str">
        <f t="shared" si="216"/>
        <v>0107</v>
      </c>
      <c r="B2275" s="3" t="s">
        <v>22</v>
      </c>
      <c r="C2275" s="3" t="str">
        <f>"刘文雪"</f>
        <v>刘文雪</v>
      </c>
      <c r="D2275" s="3" t="str">
        <f>"女"</f>
        <v>女</v>
      </c>
      <c r="E2275" s="3" t="str">
        <f>"2507017716"</f>
        <v>2507017716</v>
      </c>
      <c r="F2275" s="3" t="str">
        <f t="shared" si="218"/>
        <v>77</v>
      </c>
      <c r="G2275" s="4" t="str">
        <f>"16"</f>
        <v>16</v>
      </c>
      <c r="H2275" s="5">
        <v>0</v>
      </c>
      <c r="I2275" s="3" t="s">
        <v>11</v>
      </c>
    </row>
    <row r="2276" customHeight="1" spans="1:9">
      <c r="A2276" s="3" t="str">
        <f t="shared" si="216"/>
        <v>0107</v>
      </c>
      <c r="B2276" s="3" t="s">
        <v>22</v>
      </c>
      <c r="C2276" s="3" t="str">
        <f>"朱文"</f>
        <v>朱文</v>
      </c>
      <c r="D2276" s="3" t="str">
        <f>"女"</f>
        <v>女</v>
      </c>
      <c r="E2276" s="3" t="str">
        <f>"2507017717"</f>
        <v>2507017717</v>
      </c>
      <c r="F2276" s="3" t="str">
        <f t="shared" si="218"/>
        <v>77</v>
      </c>
      <c r="G2276" s="4" t="str">
        <f>"17"</f>
        <v>17</v>
      </c>
      <c r="H2276" s="5">
        <v>64.6</v>
      </c>
      <c r="I2276" s="3"/>
    </row>
    <row r="2277" customHeight="1" spans="1:9">
      <c r="A2277" s="3" t="str">
        <f t="shared" si="216"/>
        <v>0107</v>
      </c>
      <c r="B2277" s="3" t="s">
        <v>22</v>
      </c>
      <c r="C2277" s="3" t="str">
        <f>"吴静宜"</f>
        <v>吴静宜</v>
      </c>
      <c r="D2277" s="3" t="str">
        <f>"女"</f>
        <v>女</v>
      </c>
      <c r="E2277" s="3" t="str">
        <f>"2507017718"</f>
        <v>2507017718</v>
      </c>
      <c r="F2277" s="3" t="str">
        <f t="shared" si="218"/>
        <v>77</v>
      </c>
      <c r="G2277" s="4" t="str">
        <f>"18"</f>
        <v>18</v>
      </c>
      <c r="H2277" s="5">
        <v>0</v>
      </c>
      <c r="I2277" s="3" t="s">
        <v>11</v>
      </c>
    </row>
    <row r="2278" customHeight="1" spans="1:9">
      <c r="A2278" s="3" t="str">
        <f t="shared" si="216"/>
        <v>0107</v>
      </c>
      <c r="B2278" s="3" t="s">
        <v>22</v>
      </c>
      <c r="C2278" s="3" t="str">
        <f>"卓悦"</f>
        <v>卓悦</v>
      </c>
      <c r="D2278" s="3" t="str">
        <f>"女"</f>
        <v>女</v>
      </c>
      <c r="E2278" s="3" t="str">
        <f>"2507017719"</f>
        <v>2507017719</v>
      </c>
      <c r="F2278" s="3" t="str">
        <f t="shared" si="218"/>
        <v>77</v>
      </c>
      <c r="G2278" s="4" t="str">
        <f>"19"</f>
        <v>19</v>
      </c>
      <c r="H2278" s="5">
        <v>0</v>
      </c>
      <c r="I2278" s="3" t="s">
        <v>11</v>
      </c>
    </row>
    <row r="2279" customHeight="1" spans="1:9">
      <c r="A2279" s="3" t="str">
        <f t="shared" si="216"/>
        <v>0107</v>
      </c>
      <c r="B2279" s="3" t="s">
        <v>22</v>
      </c>
      <c r="C2279" s="3" t="str">
        <f>"李安琪"</f>
        <v>李安琪</v>
      </c>
      <c r="D2279" s="3" t="str">
        <f>"女"</f>
        <v>女</v>
      </c>
      <c r="E2279" s="3" t="str">
        <f>"2507017720"</f>
        <v>2507017720</v>
      </c>
      <c r="F2279" s="3" t="str">
        <f t="shared" si="218"/>
        <v>77</v>
      </c>
      <c r="G2279" s="4" t="str">
        <f>"20"</f>
        <v>20</v>
      </c>
      <c r="H2279" s="5">
        <v>80.3</v>
      </c>
      <c r="I2279" s="3"/>
    </row>
    <row r="2280" customHeight="1" spans="1:9">
      <c r="A2280" s="3" t="str">
        <f t="shared" si="216"/>
        <v>0107</v>
      </c>
      <c r="B2280" s="3" t="s">
        <v>22</v>
      </c>
      <c r="C2280" s="3" t="str">
        <f>"王帅"</f>
        <v>王帅</v>
      </c>
      <c r="D2280" s="3" t="str">
        <f>"男"</f>
        <v>男</v>
      </c>
      <c r="E2280" s="3" t="str">
        <f>"2507017721"</f>
        <v>2507017721</v>
      </c>
      <c r="F2280" s="3" t="str">
        <f t="shared" si="218"/>
        <v>77</v>
      </c>
      <c r="G2280" s="4" t="str">
        <f>"21"</f>
        <v>21</v>
      </c>
      <c r="H2280" s="5">
        <v>54.8</v>
      </c>
      <c r="I2280" s="3"/>
    </row>
    <row r="2281" customHeight="1" spans="1:9">
      <c r="A2281" s="3" t="str">
        <f t="shared" si="216"/>
        <v>0107</v>
      </c>
      <c r="B2281" s="3" t="s">
        <v>22</v>
      </c>
      <c r="C2281" s="3" t="str">
        <f>"季双全"</f>
        <v>季双全</v>
      </c>
      <c r="D2281" s="3" t="str">
        <f>"男"</f>
        <v>男</v>
      </c>
      <c r="E2281" s="3" t="str">
        <f>"2507017722"</f>
        <v>2507017722</v>
      </c>
      <c r="F2281" s="3" t="str">
        <f t="shared" si="218"/>
        <v>77</v>
      </c>
      <c r="G2281" s="4" t="str">
        <f>"22"</f>
        <v>22</v>
      </c>
      <c r="H2281" s="5">
        <v>73.5</v>
      </c>
      <c r="I2281" s="3"/>
    </row>
    <row r="2282" customHeight="1" spans="1:9">
      <c r="A2282" s="3" t="str">
        <f t="shared" si="216"/>
        <v>0107</v>
      </c>
      <c r="B2282" s="3" t="s">
        <v>22</v>
      </c>
      <c r="C2282" s="3" t="str">
        <f>"徐正木"</f>
        <v>徐正木</v>
      </c>
      <c r="D2282" s="3" t="str">
        <f>"男"</f>
        <v>男</v>
      </c>
      <c r="E2282" s="3" t="str">
        <f>"2507017723"</f>
        <v>2507017723</v>
      </c>
      <c r="F2282" s="3" t="str">
        <f t="shared" si="218"/>
        <v>77</v>
      </c>
      <c r="G2282" s="4" t="str">
        <f>"23"</f>
        <v>23</v>
      </c>
      <c r="H2282" s="5">
        <v>78.2</v>
      </c>
      <c r="I2282" s="3"/>
    </row>
    <row r="2283" customHeight="1" spans="1:9">
      <c r="A2283" s="3" t="str">
        <f t="shared" si="216"/>
        <v>0107</v>
      </c>
      <c r="B2283" s="3" t="s">
        <v>22</v>
      </c>
      <c r="C2283" s="3" t="str">
        <f>"李俊翰"</f>
        <v>李俊翰</v>
      </c>
      <c r="D2283" s="3" t="str">
        <f>"男"</f>
        <v>男</v>
      </c>
      <c r="E2283" s="3" t="str">
        <f>"2507017724"</f>
        <v>2507017724</v>
      </c>
      <c r="F2283" s="3" t="str">
        <f t="shared" si="218"/>
        <v>77</v>
      </c>
      <c r="G2283" s="4" t="str">
        <f>"24"</f>
        <v>24</v>
      </c>
      <c r="H2283" s="5">
        <v>0</v>
      </c>
      <c r="I2283" s="3" t="s">
        <v>11</v>
      </c>
    </row>
    <row r="2284" customHeight="1" spans="1:9">
      <c r="A2284" s="3" t="str">
        <f t="shared" si="216"/>
        <v>0107</v>
      </c>
      <c r="B2284" s="3" t="s">
        <v>22</v>
      </c>
      <c r="C2284" s="3" t="str">
        <f>"王思思"</f>
        <v>王思思</v>
      </c>
      <c r="D2284" s="3" t="str">
        <f t="shared" ref="D2284:D2294" si="220">"女"</f>
        <v>女</v>
      </c>
      <c r="E2284" s="3" t="str">
        <f>"2507017725"</f>
        <v>2507017725</v>
      </c>
      <c r="F2284" s="3" t="str">
        <f t="shared" si="218"/>
        <v>77</v>
      </c>
      <c r="G2284" s="4" t="str">
        <f>"25"</f>
        <v>25</v>
      </c>
      <c r="H2284" s="5">
        <v>74</v>
      </c>
      <c r="I2284" s="3"/>
    </row>
    <row r="2285" customHeight="1" spans="1:9">
      <c r="A2285" s="3" t="str">
        <f t="shared" si="216"/>
        <v>0107</v>
      </c>
      <c r="B2285" s="3" t="s">
        <v>22</v>
      </c>
      <c r="C2285" s="3" t="str">
        <f>"杜雨琪"</f>
        <v>杜雨琪</v>
      </c>
      <c r="D2285" s="3" t="str">
        <f t="shared" si="220"/>
        <v>女</v>
      </c>
      <c r="E2285" s="3" t="str">
        <f>"2507017726"</f>
        <v>2507017726</v>
      </c>
      <c r="F2285" s="3" t="str">
        <f t="shared" si="218"/>
        <v>77</v>
      </c>
      <c r="G2285" s="4" t="str">
        <f>"26"</f>
        <v>26</v>
      </c>
      <c r="H2285" s="5">
        <v>75</v>
      </c>
      <c r="I2285" s="3"/>
    </row>
    <row r="2286" customHeight="1" spans="1:9">
      <c r="A2286" s="3" t="str">
        <f t="shared" si="216"/>
        <v>0107</v>
      </c>
      <c r="B2286" s="3" t="s">
        <v>22</v>
      </c>
      <c r="C2286" s="3" t="str">
        <f>"陈可欣"</f>
        <v>陈可欣</v>
      </c>
      <c r="D2286" s="3" t="str">
        <f t="shared" si="220"/>
        <v>女</v>
      </c>
      <c r="E2286" s="3" t="str">
        <f>"2507017727"</f>
        <v>2507017727</v>
      </c>
      <c r="F2286" s="3" t="str">
        <f t="shared" si="218"/>
        <v>77</v>
      </c>
      <c r="G2286" s="4" t="str">
        <f>"27"</f>
        <v>27</v>
      </c>
      <c r="H2286" s="5">
        <v>0</v>
      </c>
      <c r="I2286" s="3" t="s">
        <v>11</v>
      </c>
    </row>
    <row r="2287" customHeight="1" spans="1:9">
      <c r="A2287" s="3" t="str">
        <f t="shared" si="216"/>
        <v>0107</v>
      </c>
      <c r="B2287" s="3" t="s">
        <v>22</v>
      </c>
      <c r="C2287" s="3" t="str">
        <f>"蔡彤"</f>
        <v>蔡彤</v>
      </c>
      <c r="D2287" s="3" t="str">
        <f t="shared" si="220"/>
        <v>女</v>
      </c>
      <c r="E2287" s="3" t="str">
        <f>"2507017728"</f>
        <v>2507017728</v>
      </c>
      <c r="F2287" s="3" t="str">
        <f t="shared" si="218"/>
        <v>77</v>
      </c>
      <c r="G2287" s="4" t="str">
        <f>"28"</f>
        <v>28</v>
      </c>
      <c r="H2287" s="5">
        <v>82</v>
      </c>
      <c r="I2287" s="3"/>
    </row>
    <row r="2288" customHeight="1" spans="1:9">
      <c r="A2288" s="3" t="str">
        <f t="shared" si="216"/>
        <v>0107</v>
      </c>
      <c r="B2288" s="3" t="s">
        <v>22</v>
      </c>
      <c r="C2288" s="3" t="str">
        <f>"施茜茜"</f>
        <v>施茜茜</v>
      </c>
      <c r="D2288" s="3" t="str">
        <f t="shared" si="220"/>
        <v>女</v>
      </c>
      <c r="E2288" s="3" t="str">
        <f>"2507017729"</f>
        <v>2507017729</v>
      </c>
      <c r="F2288" s="3" t="str">
        <f t="shared" si="218"/>
        <v>77</v>
      </c>
      <c r="G2288" s="4" t="str">
        <f>"29"</f>
        <v>29</v>
      </c>
      <c r="H2288" s="5">
        <v>0</v>
      </c>
      <c r="I2288" s="3" t="s">
        <v>11</v>
      </c>
    </row>
    <row r="2289" customHeight="1" spans="1:9">
      <c r="A2289" s="3" t="str">
        <f t="shared" si="216"/>
        <v>0107</v>
      </c>
      <c r="B2289" s="3" t="s">
        <v>22</v>
      </c>
      <c r="C2289" s="3" t="str">
        <f>"朱炫静"</f>
        <v>朱炫静</v>
      </c>
      <c r="D2289" s="3" t="str">
        <f t="shared" si="220"/>
        <v>女</v>
      </c>
      <c r="E2289" s="3" t="str">
        <f>"2507017730"</f>
        <v>2507017730</v>
      </c>
      <c r="F2289" s="3" t="str">
        <f t="shared" si="218"/>
        <v>77</v>
      </c>
      <c r="G2289" s="4" t="str">
        <f>"30"</f>
        <v>30</v>
      </c>
      <c r="H2289" s="5">
        <v>53.4</v>
      </c>
      <c r="I2289" s="3"/>
    </row>
    <row r="2290" customHeight="1" spans="1:9">
      <c r="A2290" s="3" t="str">
        <f t="shared" si="216"/>
        <v>0107</v>
      </c>
      <c r="B2290" s="3" t="s">
        <v>22</v>
      </c>
      <c r="C2290" s="3" t="str">
        <f>"孟磊"</f>
        <v>孟磊</v>
      </c>
      <c r="D2290" s="3" t="str">
        <f t="shared" si="220"/>
        <v>女</v>
      </c>
      <c r="E2290" s="3" t="str">
        <f>"2507017801"</f>
        <v>2507017801</v>
      </c>
      <c r="F2290" s="3" t="str">
        <f t="shared" ref="F2290:F2319" si="221">"78"</f>
        <v>78</v>
      </c>
      <c r="G2290" s="4" t="str">
        <f>"01"</f>
        <v>01</v>
      </c>
      <c r="H2290" s="5">
        <v>0</v>
      </c>
      <c r="I2290" s="3" t="s">
        <v>11</v>
      </c>
    </row>
    <row r="2291" customHeight="1" spans="1:9">
      <c r="A2291" s="3" t="str">
        <f t="shared" si="216"/>
        <v>0107</v>
      </c>
      <c r="B2291" s="3" t="s">
        <v>22</v>
      </c>
      <c r="C2291" s="3" t="str">
        <f>"陈田恬"</f>
        <v>陈田恬</v>
      </c>
      <c r="D2291" s="3" t="str">
        <f t="shared" si="220"/>
        <v>女</v>
      </c>
      <c r="E2291" s="3" t="str">
        <f>"2507017802"</f>
        <v>2507017802</v>
      </c>
      <c r="F2291" s="3" t="str">
        <f t="shared" si="221"/>
        <v>78</v>
      </c>
      <c r="G2291" s="4" t="str">
        <f>"02"</f>
        <v>02</v>
      </c>
      <c r="H2291" s="5">
        <v>0</v>
      </c>
      <c r="I2291" s="3" t="s">
        <v>11</v>
      </c>
    </row>
    <row r="2292" customHeight="1" spans="1:9">
      <c r="A2292" s="3" t="str">
        <f t="shared" si="216"/>
        <v>0107</v>
      </c>
      <c r="B2292" s="3" t="s">
        <v>22</v>
      </c>
      <c r="C2292" s="3" t="str">
        <f>"闫允"</f>
        <v>闫允</v>
      </c>
      <c r="D2292" s="3" t="str">
        <f t="shared" si="220"/>
        <v>女</v>
      </c>
      <c r="E2292" s="3" t="str">
        <f>"2507017803"</f>
        <v>2507017803</v>
      </c>
      <c r="F2292" s="3" t="str">
        <f t="shared" si="221"/>
        <v>78</v>
      </c>
      <c r="G2292" s="4" t="str">
        <f>"03"</f>
        <v>03</v>
      </c>
      <c r="H2292" s="5">
        <v>0</v>
      </c>
      <c r="I2292" s="3" t="s">
        <v>11</v>
      </c>
    </row>
    <row r="2293" customHeight="1" spans="1:9">
      <c r="A2293" s="3" t="str">
        <f t="shared" si="216"/>
        <v>0107</v>
      </c>
      <c r="B2293" s="3" t="s">
        <v>22</v>
      </c>
      <c r="C2293" s="3" t="str">
        <f>"刘小雅"</f>
        <v>刘小雅</v>
      </c>
      <c r="D2293" s="3" t="str">
        <f t="shared" si="220"/>
        <v>女</v>
      </c>
      <c r="E2293" s="3" t="str">
        <f>"2507017804"</f>
        <v>2507017804</v>
      </c>
      <c r="F2293" s="3" t="str">
        <f t="shared" si="221"/>
        <v>78</v>
      </c>
      <c r="G2293" s="4" t="str">
        <f>"04"</f>
        <v>04</v>
      </c>
      <c r="H2293" s="5">
        <v>80.9</v>
      </c>
      <c r="I2293" s="3"/>
    </row>
    <row r="2294" customHeight="1" spans="1:9">
      <c r="A2294" s="3" t="str">
        <f t="shared" si="216"/>
        <v>0107</v>
      </c>
      <c r="B2294" s="3" t="s">
        <v>22</v>
      </c>
      <c r="C2294" s="3" t="str">
        <f>"王园园"</f>
        <v>王园园</v>
      </c>
      <c r="D2294" s="3" t="str">
        <f t="shared" si="220"/>
        <v>女</v>
      </c>
      <c r="E2294" s="3" t="str">
        <f>"2507017805"</f>
        <v>2507017805</v>
      </c>
      <c r="F2294" s="3" t="str">
        <f t="shared" si="221"/>
        <v>78</v>
      </c>
      <c r="G2294" s="4" t="str">
        <f>"05"</f>
        <v>05</v>
      </c>
      <c r="H2294" s="5">
        <v>78.8</v>
      </c>
      <c r="I2294" s="3"/>
    </row>
    <row r="2295" customHeight="1" spans="1:9">
      <c r="A2295" s="3" t="str">
        <f t="shared" si="216"/>
        <v>0107</v>
      </c>
      <c r="B2295" s="3" t="s">
        <v>22</v>
      </c>
      <c r="C2295" s="3" t="str">
        <f>"赵桉然"</f>
        <v>赵桉然</v>
      </c>
      <c r="D2295" s="3" t="str">
        <f>"男"</f>
        <v>男</v>
      </c>
      <c r="E2295" s="3" t="str">
        <f>"2507017806"</f>
        <v>2507017806</v>
      </c>
      <c r="F2295" s="3" t="str">
        <f t="shared" si="221"/>
        <v>78</v>
      </c>
      <c r="G2295" s="4" t="str">
        <f>"06"</f>
        <v>06</v>
      </c>
      <c r="H2295" s="5">
        <v>77.9</v>
      </c>
      <c r="I2295" s="3"/>
    </row>
    <row r="2296" customHeight="1" spans="1:9">
      <c r="A2296" s="3" t="str">
        <f t="shared" si="216"/>
        <v>0107</v>
      </c>
      <c r="B2296" s="3" t="s">
        <v>22</v>
      </c>
      <c r="C2296" s="3" t="str">
        <f>"沈忱"</f>
        <v>沈忱</v>
      </c>
      <c r="D2296" s="3" t="str">
        <f t="shared" ref="D2296:D2304" si="222">"女"</f>
        <v>女</v>
      </c>
      <c r="E2296" s="3" t="str">
        <f>"2507017807"</f>
        <v>2507017807</v>
      </c>
      <c r="F2296" s="3" t="str">
        <f t="shared" si="221"/>
        <v>78</v>
      </c>
      <c r="G2296" s="4" t="str">
        <f>"07"</f>
        <v>07</v>
      </c>
      <c r="H2296" s="5">
        <v>70</v>
      </c>
      <c r="I2296" s="3"/>
    </row>
    <row r="2297" customHeight="1" spans="1:9">
      <c r="A2297" s="3" t="str">
        <f t="shared" si="216"/>
        <v>0107</v>
      </c>
      <c r="B2297" s="3" t="s">
        <v>22</v>
      </c>
      <c r="C2297" s="3" t="str">
        <f>"张雨蒙"</f>
        <v>张雨蒙</v>
      </c>
      <c r="D2297" s="3" t="str">
        <f t="shared" si="222"/>
        <v>女</v>
      </c>
      <c r="E2297" s="3" t="str">
        <f>"2507017808"</f>
        <v>2507017808</v>
      </c>
      <c r="F2297" s="3" t="str">
        <f t="shared" si="221"/>
        <v>78</v>
      </c>
      <c r="G2297" s="4" t="str">
        <f>"08"</f>
        <v>08</v>
      </c>
      <c r="H2297" s="5">
        <v>82.4</v>
      </c>
      <c r="I2297" s="3"/>
    </row>
    <row r="2298" customHeight="1" spans="1:9">
      <c r="A2298" s="3" t="str">
        <f t="shared" si="216"/>
        <v>0107</v>
      </c>
      <c r="B2298" s="3" t="s">
        <v>22</v>
      </c>
      <c r="C2298" s="3" t="str">
        <f>"张璇"</f>
        <v>张璇</v>
      </c>
      <c r="D2298" s="3" t="str">
        <f t="shared" si="222"/>
        <v>女</v>
      </c>
      <c r="E2298" s="3" t="str">
        <f>"2507017809"</f>
        <v>2507017809</v>
      </c>
      <c r="F2298" s="3" t="str">
        <f t="shared" si="221"/>
        <v>78</v>
      </c>
      <c r="G2298" s="4" t="str">
        <f>"09"</f>
        <v>09</v>
      </c>
      <c r="H2298" s="5">
        <v>75.2</v>
      </c>
      <c r="I2298" s="3"/>
    </row>
    <row r="2299" customHeight="1" spans="1:9">
      <c r="A2299" s="3" t="str">
        <f t="shared" si="216"/>
        <v>0107</v>
      </c>
      <c r="B2299" s="3" t="s">
        <v>22</v>
      </c>
      <c r="C2299" s="3" t="str">
        <f>"吕天慧"</f>
        <v>吕天慧</v>
      </c>
      <c r="D2299" s="3" t="str">
        <f t="shared" si="222"/>
        <v>女</v>
      </c>
      <c r="E2299" s="3" t="str">
        <f>"2507017810"</f>
        <v>2507017810</v>
      </c>
      <c r="F2299" s="3" t="str">
        <f t="shared" si="221"/>
        <v>78</v>
      </c>
      <c r="G2299" s="4" t="str">
        <f>"10"</f>
        <v>10</v>
      </c>
      <c r="H2299" s="5">
        <v>89.8</v>
      </c>
      <c r="I2299" s="3"/>
    </row>
    <row r="2300" customHeight="1" spans="1:9">
      <c r="A2300" s="3" t="str">
        <f t="shared" si="216"/>
        <v>0107</v>
      </c>
      <c r="B2300" s="3" t="s">
        <v>22</v>
      </c>
      <c r="C2300" s="3" t="str">
        <f>"夏桦"</f>
        <v>夏桦</v>
      </c>
      <c r="D2300" s="3" t="str">
        <f t="shared" si="222"/>
        <v>女</v>
      </c>
      <c r="E2300" s="3" t="str">
        <f>"2507017811"</f>
        <v>2507017811</v>
      </c>
      <c r="F2300" s="3" t="str">
        <f t="shared" si="221"/>
        <v>78</v>
      </c>
      <c r="G2300" s="4" t="str">
        <f>"11"</f>
        <v>11</v>
      </c>
      <c r="H2300" s="5">
        <v>0</v>
      </c>
      <c r="I2300" s="3" t="s">
        <v>11</v>
      </c>
    </row>
    <row r="2301" customHeight="1" spans="1:9">
      <c r="A2301" s="3" t="str">
        <f t="shared" si="216"/>
        <v>0107</v>
      </c>
      <c r="B2301" s="3" t="s">
        <v>22</v>
      </c>
      <c r="C2301" s="3" t="str">
        <f>"程星婷"</f>
        <v>程星婷</v>
      </c>
      <c r="D2301" s="3" t="str">
        <f t="shared" si="222"/>
        <v>女</v>
      </c>
      <c r="E2301" s="3" t="str">
        <f>"2507017812"</f>
        <v>2507017812</v>
      </c>
      <c r="F2301" s="3" t="str">
        <f t="shared" si="221"/>
        <v>78</v>
      </c>
      <c r="G2301" s="4" t="str">
        <f>"12"</f>
        <v>12</v>
      </c>
      <c r="H2301" s="5">
        <v>0</v>
      </c>
      <c r="I2301" s="3" t="s">
        <v>11</v>
      </c>
    </row>
    <row r="2302" customHeight="1" spans="1:9">
      <c r="A2302" s="3" t="str">
        <f t="shared" ref="A2302:A2365" si="223">"0107"</f>
        <v>0107</v>
      </c>
      <c r="B2302" s="3" t="s">
        <v>22</v>
      </c>
      <c r="C2302" s="3" t="str">
        <f>"张思维"</f>
        <v>张思维</v>
      </c>
      <c r="D2302" s="3" t="str">
        <f t="shared" si="222"/>
        <v>女</v>
      </c>
      <c r="E2302" s="3" t="str">
        <f>"2507017813"</f>
        <v>2507017813</v>
      </c>
      <c r="F2302" s="3" t="str">
        <f t="shared" si="221"/>
        <v>78</v>
      </c>
      <c r="G2302" s="4" t="str">
        <f>"13"</f>
        <v>13</v>
      </c>
      <c r="H2302" s="5">
        <v>68.2</v>
      </c>
      <c r="I2302" s="3"/>
    </row>
    <row r="2303" customHeight="1" spans="1:9">
      <c r="A2303" s="3" t="str">
        <f t="shared" si="223"/>
        <v>0107</v>
      </c>
      <c r="B2303" s="3" t="s">
        <v>22</v>
      </c>
      <c r="C2303" s="3" t="str">
        <f>"武海珍"</f>
        <v>武海珍</v>
      </c>
      <c r="D2303" s="3" t="str">
        <f t="shared" si="222"/>
        <v>女</v>
      </c>
      <c r="E2303" s="3" t="str">
        <f>"2507017814"</f>
        <v>2507017814</v>
      </c>
      <c r="F2303" s="3" t="str">
        <f t="shared" si="221"/>
        <v>78</v>
      </c>
      <c r="G2303" s="4" t="str">
        <f>"14"</f>
        <v>14</v>
      </c>
      <c r="H2303" s="5">
        <v>0</v>
      </c>
      <c r="I2303" s="3" t="s">
        <v>11</v>
      </c>
    </row>
    <row r="2304" customHeight="1" spans="1:9">
      <c r="A2304" s="3" t="str">
        <f t="shared" si="223"/>
        <v>0107</v>
      </c>
      <c r="B2304" s="3" t="s">
        <v>22</v>
      </c>
      <c r="C2304" s="3" t="str">
        <f>"甄夏清"</f>
        <v>甄夏清</v>
      </c>
      <c r="D2304" s="3" t="str">
        <f t="shared" si="222"/>
        <v>女</v>
      </c>
      <c r="E2304" s="3" t="str">
        <f>"2507017815"</f>
        <v>2507017815</v>
      </c>
      <c r="F2304" s="3" t="str">
        <f t="shared" si="221"/>
        <v>78</v>
      </c>
      <c r="G2304" s="4" t="str">
        <f>"15"</f>
        <v>15</v>
      </c>
      <c r="H2304" s="5">
        <v>0</v>
      </c>
      <c r="I2304" s="3" t="s">
        <v>11</v>
      </c>
    </row>
    <row r="2305" customHeight="1" spans="1:9">
      <c r="A2305" s="3" t="str">
        <f t="shared" si="223"/>
        <v>0107</v>
      </c>
      <c r="B2305" s="3" t="s">
        <v>22</v>
      </c>
      <c r="C2305" s="3" t="str">
        <f>"司贵法"</f>
        <v>司贵法</v>
      </c>
      <c r="D2305" s="3" t="str">
        <f>"男"</f>
        <v>男</v>
      </c>
      <c r="E2305" s="3" t="str">
        <f>"2507017816"</f>
        <v>2507017816</v>
      </c>
      <c r="F2305" s="3" t="str">
        <f t="shared" si="221"/>
        <v>78</v>
      </c>
      <c r="G2305" s="4" t="str">
        <f>"16"</f>
        <v>16</v>
      </c>
      <c r="H2305" s="5">
        <v>61</v>
      </c>
      <c r="I2305" s="3"/>
    </row>
    <row r="2306" customHeight="1" spans="1:9">
      <c r="A2306" s="3" t="str">
        <f t="shared" si="223"/>
        <v>0107</v>
      </c>
      <c r="B2306" s="3" t="s">
        <v>22</v>
      </c>
      <c r="C2306" s="3" t="str">
        <f>"张薇薇"</f>
        <v>张薇薇</v>
      </c>
      <c r="D2306" s="3" t="str">
        <f>"女"</f>
        <v>女</v>
      </c>
      <c r="E2306" s="3" t="str">
        <f>"2507017817"</f>
        <v>2507017817</v>
      </c>
      <c r="F2306" s="3" t="str">
        <f t="shared" si="221"/>
        <v>78</v>
      </c>
      <c r="G2306" s="4" t="str">
        <f>"17"</f>
        <v>17</v>
      </c>
      <c r="H2306" s="5">
        <v>0</v>
      </c>
      <c r="I2306" s="3" t="s">
        <v>11</v>
      </c>
    </row>
    <row r="2307" customHeight="1" spans="1:9">
      <c r="A2307" s="3" t="str">
        <f t="shared" si="223"/>
        <v>0107</v>
      </c>
      <c r="B2307" s="3" t="s">
        <v>22</v>
      </c>
      <c r="C2307" s="3" t="str">
        <f>"张逸飞"</f>
        <v>张逸飞</v>
      </c>
      <c r="D2307" s="3" t="str">
        <f>"女"</f>
        <v>女</v>
      </c>
      <c r="E2307" s="3" t="str">
        <f>"2507017818"</f>
        <v>2507017818</v>
      </c>
      <c r="F2307" s="3" t="str">
        <f t="shared" si="221"/>
        <v>78</v>
      </c>
      <c r="G2307" s="4" t="str">
        <f>"18"</f>
        <v>18</v>
      </c>
      <c r="H2307" s="5">
        <v>63.8</v>
      </c>
      <c r="I2307" s="3"/>
    </row>
    <row r="2308" customHeight="1" spans="1:9">
      <c r="A2308" s="3" t="str">
        <f t="shared" si="223"/>
        <v>0107</v>
      </c>
      <c r="B2308" s="3" t="s">
        <v>22</v>
      </c>
      <c r="C2308" s="3" t="str">
        <f>"郭品尚"</f>
        <v>郭品尚</v>
      </c>
      <c r="D2308" s="3" t="str">
        <f>"男"</f>
        <v>男</v>
      </c>
      <c r="E2308" s="3" t="str">
        <f>"2507017819"</f>
        <v>2507017819</v>
      </c>
      <c r="F2308" s="3" t="str">
        <f t="shared" si="221"/>
        <v>78</v>
      </c>
      <c r="G2308" s="4" t="str">
        <f>"19"</f>
        <v>19</v>
      </c>
      <c r="H2308" s="5">
        <v>57.2</v>
      </c>
      <c r="I2308" s="3"/>
    </row>
    <row r="2309" customHeight="1" spans="1:9">
      <c r="A2309" s="3" t="str">
        <f t="shared" si="223"/>
        <v>0107</v>
      </c>
      <c r="B2309" s="3" t="s">
        <v>22</v>
      </c>
      <c r="C2309" s="3" t="str">
        <f>"张延发"</f>
        <v>张延发</v>
      </c>
      <c r="D2309" s="3" t="str">
        <f>"男"</f>
        <v>男</v>
      </c>
      <c r="E2309" s="3" t="str">
        <f>"2507017820"</f>
        <v>2507017820</v>
      </c>
      <c r="F2309" s="3" t="str">
        <f t="shared" si="221"/>
        <v>78</v>
      </c>
      <c r="G2309" s="4" t="str">
        <f>"20"</f>
        <v>20</v>
      </c>
      <c r="H2309" s="5">
        <v>0</v>
      </c>
      <c r="I2309" s="3" t="s">
        <v>11</v>
      </c>
    </row>
    <row r="2310" customHeight="1" spans="1:9">
      <c r="A2310" s="3" t="str">
        <f t="shared" si="223"/>
        <v>0107</v>
      </c>
      <c r="B2310" s="3" t="s">
        <v>22</v>
      </c>
      <c r="C2310" s="3" t="str">
        <f>"范紫衡"</f>
        <v>范紫衡</v>
      </c>
      <c r="D2310" s="3" t="str">
        <f>"男"</f>
        <v>男</v>
      </c>
      <c r="E2310" s="3" t="str">
        <f>"2507017821"</f>
        <v>2507017821</v>
      </c>
      <c r="F2310" s="3" t="str">
        <f t="shared" si="221"/>
        <v>78</v>
      </c>
      <c r="G2310" s="4" t="str">
        <f>"21"</f>
        <v>21</v>
      </c>
      <c r="H2310" s="5">
        <v>0</v>
      </c>
      <c r="I2310" s="3" t="s">
        <v>11</v>
      </c>
    </row>
    <row r="2311" customHeight="1" spans="1:9">
      <c r="A2311" s="3" t="str">
        <f t="shared" si="223"/>
        <v>0107</v>
      </c>
      <c r="B2311" s="3" t="s">
        <v>22</v>
      </c>
      <c r="C2311" s="3" t="str">
        <f>"赵启贤"</f>
        <v>赵启贤</v>
      </c>
      <c r="D2311" s="3" t="str">
        <f t="shared" ref="D2311:D2327" si="224">"女"</f>
        <v>女</v>
      </c>
      <c r="E2311" s="3" t="str">
        <f>"2507017822"</f>
        <v>2507017822</v>
      </c>
      <c r="F2311" s="3" t="str">
        <f t="shared" si="221"/>
        <v>78</v>
      </c>
      <c r="G2311" s="4" t="str">
        <f>"22"</f>
        <v>22</v>
      </c>
      <c r="H2311" s="5">
        <v>76.9</v>
      </c>
      <c r="I2311" s="3"/>
    </row>
    <row r="2312" customHeight="1" spans="1:9">
      <c r="A2312" s="3" t="str">
        <f t="shared" si="223"/>
        <v>0107</v>
      </c>
      <c r="B2312" s="3" t="s">
        <v>22</v>
      </c>
      <c r="C2312" s="3" t="str">
        <f>"王启慧"</f>
        <v>王启慧</v>
      </c>
      <c r="D2312" s="3" t="str">
        <f t="shared" si="224"/>
        <v>女</v>
      </c>
      <c r="E2312" s="3" t="str">
        <f>"2507017823"</f>
        <v>2507017823</v>
      </c>
      <c r="F2312" s="3" t="str">
        <f t="shared" si="221"/>
        <v>78</v>
      </c>
      <c r="G2312" s="4" t="str">
        <f>"23"</f>
        <v>23</v>
      </c>
      <c r="H2312" s="5">
        <v>77.7</v>
      </c>
      <c r="I2312" s="3"/>
    </row>
    <row r="2313" customHeight="1" spans="1:9">
      <c r="A2313" s="3" t="str">
        <f t="shared" si="223"/>
        <v>0107</v>
      </c>
      <c r="B2313" s="3" t="s">
        <v>22</v>
      </c>
      <c r="C2313" s="3" t="str">
        <f>"郑心雨"</f>
        <v>郑心雨</v>
      </c>
      <c r="D2313" s="3" t="str">
        <f t="shared" si="224"/>
        <v>女</v>
      </c>
      <c r="E2313" s="3" t="str">
        <f>"2507017824"</f>
        <v>2507017824</v>
      </c>
      <c r="F2313" s="3" t="str">
        <f t="shared" si="221"/>
        <v>78</v>
      </c>
      <c r="G2313" s="4" t="str">
        <f>"24"</f>
        <v>24</v>
      </c>
      <c r="H2313" s="5">
        <v>0</v>
      </c>
      <c r="I2313" s="3" t="s">
        <v>11</v>
      </c>
    </row>
    <row r="2314" customHeight="1" spans="1:9">
      <c r="A2314" s="3" t="str">
        <f t="shared" si="223"/>
        <v>0107</v>
      </c>
      <c r="B2314" s="3" t="s">
        <v>22</v>
      </c>
      <c r="C2314" s="3" t="str">
        <f>"李娜"</f>
        <v>李娜</v>
      </c>
      <c r="D2314" s="3" t="str">
        <f t="shared" si="224"/>
        <v>女</v>
      </c>
      <c r="E2314" s="3" t="str">
        <f>"2507017825"</f>
        <v>2507017825</v>
      </c>
      <c r="F2314" s="3" t="str">
        <f t="shared" si="221"/>
        <v>78</v>
      </c>
      <c r="G2314" s="4" t="str">
        <f>"25"</f>
        <v>25</v>
      </c>
      <c r="H2314" s="5">
        <v>57.4</v>
      </c>
      <c r="I2314" s="3"/>
    </row>
    <row r="2315" customHeight="1" spans="1:9">
      <c r="A2315" s="3" t="str">
        <f t="shared" si="223"/>
        <v>0107</v>
      </c>
      <c r="B2315" s="3" t="s">
        <v>22</v>
      </c>
      <c r="C2315" s="3" t="str">
        <f>"熊郡怡"</f>
        <v>熊郡怡</v>
      </c>
      <c r="D2315" s="3" t="str">
        <f t="shared" si="224"/>
        <v>女</v>
      </c>
      <c r="E2315" s="3" t="str">
        <f>"2507017826"</f>
        <v>2507017826</v>
      </c>
      <c r="F2315" s="3" t="str">
        <f t="shared" si="221"/>
        <v>78</v>
      </c>
      <c r="G2315" s="4" t="str">
        <f>"26"</f>
        <v>26</v>
      </c>
      <c r="H2315" s="5">
        <v>0</v>
      </c>
      <c r="I2315" s="3" t="s">
        <v>11</v>
      </c>
    </row>
    <row r="2316" customHeight="1" spans="1:9">
      <c r="A2316" s="3" t="str">
        <f t="shared" si="223"/>
        <v>0107</v>
      </c>
      <c r="B2316" s="3" t="s">
        <v>22</v>
      </c>
      <c r="C2316" s="3" t="str">
        <f>"王贤"</f>
        <v>王贤</v>
      </c>
      <c r="D2316" s="3" t="str">
        <f t="shared" si="224"/>
        <v>女</v>
      </c>
      <c r="E2316" s="3" t="str">
        <f>"2507017827"</f>
        <v>2507017827</v>
      </c>
      <c r="F2316" s="3" t="str">
        <f t="shared" si="221"/>
        <v>78</v>
      </c>
      <c r="G2316" s="4" t="str">
        <f>"27"</f>
        <v>27</v>
      </c>
      <c r="H2316" s="5">
        <v>0</v>
      </c>
      <c r="I2316" s="3" t="s">
        <v>11</v>
      </c>
    </row>
    <row r="2317" customHeight="1" spans="1:9">
      <c r="A2317" s="3" t="str">
        <f t="shared" si="223"/>
        <v>0107</v>
      </c>
      <c r="B2317" s="3" t="s">
        <v>22</v>
      </c>
      <c r="C2317" s="3" t="str">
        <f>"程欣然"</f>
        <v>程欣然</v>
      </c>
      <c r="D2317" s="3" t="str">
        <f t="shared" si="224"/>
        <v>女</v>
      </c>
      <c r="E2317" s="3" t="str">
        <f>"2507017828"</f>
        <v>2507017828</v>
      </c>
      <c r="F2317" s="3" t="str">
        <f t="shared" si="221"/>
        <v>78</v>
      </c>
      <c r="G2317" s="4" t="str">
        <f>"28"</f>
        <v>28</v>
      </c>
      <c r="H2317" s="5">
        <v>74.5</v>
      </c>
      <c r="I2317" s="3"/>
    </row>
    <row r="2318" customHeight="1" spans="1:9">
      <c r="A2318" s="3" t="str">
        <f t="shared" si="223"/>
        <v>0107</v>
      </c>
      <c r="B2318" s="3" t="s">
        <v>22</v>
      </c>
      <c r="C2318" s="3" t="str">
        <f>"张宁宁"</f>
        <v>张宁宁</v>
      </c>
      <c r="D2318" s="3" t="str">
        <f t="shared" si="224"/>
        <v>女</v>
      </c>
      <c r="E2318" s="3" t="str">
        <f>"2507017829"</f>
        <v>2507017829</v>
      </c>
      <c r="F2318" s="3" t="str">
        <f t="shared" si="221"/>
        <v>78</v>
      </c>
      <c r="G2318" s="4" t="str">
        <f>"29"</f>
        <v>29</v>
      </c>
      <c r="H2318" s="5">
        <v>0</v>
      </c>
      <c r="I2318" s="3" t="s">
        <v>11</v>
      </c>
    </row>
    <row r="2319" customHeight="1" spans="1:9">
      <c r="A2319" s="3" t="str">
        <f t="shared" si="223"/>
        <v>0107</v>
      </c>
      <c r="B2319" s="3" t="s">
        <v>22</v>
      </c>
      <c r="C2319" s="3" t="str">
        <f>"李楠"</f>
        <v>李楠</v>
      </c>
      <c r="D2319" s="3" t="str">
        <f t="shared" si="224"/>
        <v>女</v>
      </c>
      <c r="E2319" s="3" t="str">
        <f>"2507017830"</f>
        <v>2507017830</v>
      </c>
      <c r="F2319" s="3" t="str">
        <f t="shared" si="221"/>
        <v>78</v>
      </c>
      <c r="G2319" s="4" t="str">
        <f>"30"</f>
        <v>30</v>
      </c>
      <c r="H2319" s="5">
        <v>82.2</v>
      </c>
      <c r="I2319" s="3"/>
    </row>
    <row r="2320" customHeight="1" spans="1:9">
      <c r="A2320" s="3" t="str">
        <f t="shared" si="223"/>
        <v>0107</v>
      </c>
      <c r="B2320" s="3" t="s">
        <v>22</v>
      </c>
      <c r="C2320" s="3" t="str">
        <f>"荣宛如"</f>
        <v>荣宛如</v>
      </c>
      <c r="D2320" s="3" t="str">
        <f t="shared" si="224"/>
        <v>女</v>
      </c>
      <c r="E2320" s="3" t="str">
        <f>"2507017901"</f>
        <v>2507017901</v>
      </c>
      <c r="F2320" s="3" t="str">
        <f t="shared" ref="F2320:F2349" si="225">"79"</f>
        <v>79</v>
      </c>
      <c r="G2320" s="4" t="str">
        <f>"01"</f>
        <v>01</v>
      </c>
      <c r="H2320" s="5">
        <v>0</v>
      </c>
      <c r="I2320" s="3" t="s">
        <v>11</v>
      </c>
    </row>
    <row r="2321" customHeight="1" spans="1:9">
      <c r="A2321" s="3" t="str">
        <f t="shared" si="223"/>
        <v>0107</v>
      </c>
      <c r="B2321" s="3" t="s">
        <v>22</v>
      </c>
      <c r="C2321" s="3" t="str">
        <f>"徐笑笑"</f>
        <v>徐笑笑</v>
      </c>
      <c r="D2321" s="3" t="str">
        <f t="shared" si="224"/>
        <v>女</v>
      </c>
      <c r="E2321" s="3" t="str">
        <f>"2507017902"</f>
        <v>2507017902</v>
      </c>
      <c r="F2321" s="3" t="str">
        <f t="shared" si="225"/>
        <v>79</v>
      </c>
      <c r="G2321" s="4" t="str">
        <f>"02"</f>
        <v>02</v>
      </c>
      <c r="H2321" s="5">
        <v>88.4</v>
      </c>
      <c r="I2321" s="3"/>
    </row>
    <row r="2322" customHeight="1" spans="1:9">
      <c r="A2322" s="3" t="str">
        <f t="shared" si="223"/>
        <v>0107</v>
      </c>
      <c r="B2322" s="3" t="s">
        <v>22</v>
      </c>
      <c r="C2322" s="3" t="str">
        <f>"庄梦月"</f>
        <v>庄梦月</v>
      </c>
      <c r="D2322" s="3" t="str">
        <f t="shared" si="224"/>
        <v>女</v>
      </c>
      <c r="E2322" s="3" t="str">
        <f>"2507017903"</f>
        <v>2507017903</v>
      </c>
      <c r="F2322" s="3" t="str">
        <f t="shared" si="225"/>
        <v>79</v>
      </c>
      <c r="G2322" s="4" t="str">
        <f>"03"</f>
        <v>03</v>
      </c>
      <c r="H2322" s="5">
        <v>78.2</v>
      </c>
      <c r="I2322" s="3"/>
    </row>
    <row r="2323" customHeight="1" spans="1:9">
      <c r="A2323" s="3" t="str">
        <f t="shared" si="223"/>
        <v>0107</v>
      </c>
      <c r="B2323" s="3" t="s">
        <v>22</v>
      </c>
      <c r="C2323" s="3" t="str">
        <f>"刘璐"</f>
        <v>刘璐</v>
      </c>
      <c r="D2323" s="3" t="str">
        <f t="shared" si="224"/>
        <v>女</v>
      </c>
      <c r="E2323" s="3" t="str">
        <f>"2507017904"</f>
        <v>2507017904</v>
      </c>
      <c r="F2323" s="3" t="str">
        <f t="shared" si="225"/>
        <v>79</v>
      </c>
      <c r="G2323" s="4" t="str">
        <f>"04"</f>
        <v>04</v>
      </c>
      <c r="H2323" s="5">
        <v>61.3</v>
      </c>
      <c r="I2323" s="3"/>
    </row>
    <row r="2324" customHeight="1" spans="1:9">
      <c r="A2324" s="3" t="str">
        <f t="shared" si="223"/>
        <v>0107</v>
      </c>
      <c r="B2324" s="3" t="s">
        <v>22</v>
      </c>
      <c r="C2324" s="3" t="str">
        <f>"路怡"</f>
        <v>路怡</v>
      </c>
      <c r="D2324" s="3" t="str">
        <f t="shared" si="224"/>
        <v>女</v>
      </c>
      <c r="E2324" s="3" t="str">
        <f>"2507017905"</f>
        <v>2507017905</v>
      </c>
      <c r="F2324" s="3" t="str">
        <f t="shared" si="225"/>
        <v>79</v>
      </c>
      <c r="G2324" s="4" t="str">
        <f>"05"</f>
        <v>05</v>
      </c>
      <c r="H2324" s="5">
        <v>0</v>
      </c>
      <c r="I2324" s="3" t="s">
        <v>11</v>
      </c>
    </row>
    <row r="2325" customHeight="1" spans="1:9">
      <c r="A2325" s="3" t="str">
        <f t="shared" si="223"/>
        <v>0107</v>
      </c>
      <c r="B2325" s="3" t="s">
        <v>22</v>
      </c>
      <c r="C2325" s="3" t="str">
        <f>"蔡北"</f>
        <v>蔡北</v>
      </c>
      <c r="D2325" s="3" t="str">
        <f t="shared" si="224"/>
        <v>女</v>
      </c>
      <c r="E2325" s="3" t="str">
        <f>"2507017906"</f>
        <v>2507017906</v>
      </c>
      <c r="F2325" s="3" t="str">
        <f t="shared" si="225"/>
        <v>79</v>
      </c>
      <c r="G2325" s="4" t="str">
        <f>"06"</f>
        <v>06</v>
      </c>
      <c r="H2325" s="5">
        <v>75.1</v>
      </c>
      <c r="I2325" s="3"/>
    </row>
    <row r="2326" customHeight="1" spans="1:9">
      <c r="A2326" s="3" t="str">
        <f t="shared" si="223"/>
        <v>0107</v>
      </c>
      <c r="B2326" s="3" t="s">
        <v>22</v>
      </c>
      <c r="C2326" s="3" t="str">
        <f>"郭瀚颍"</f>
        <v>郭瀚颍</v>
      </c>
      <c r="D2326" s="3" t="str">
        <f t="shared" si="224"/>
        <v>女</v>
      </c>
      <c r="E2326" s="3" t="str">
        <f>"2507017907"</f>
        <v>2507017907</v>
      </c>
      <c r="F2326" s="3" t="str">
        <f t="shared" si="225"/>
        <v>79</v>
      </c>
      <c r="G2326" s="4" t="str">
        <f>"07"</f>
        <v>07</v>
      </c>
      <c r="H2326" s="5">
        <v>0</v>
      </c>
      <c r="I2326" s="3" t="s">
        <v>11</v>
      </c>
    </row>
    <row r="2327" customHeight="1" spans="1:9">
      <c r="A2327" s="3" t="str">
        <f t="shared" si="223"/>
        <v>0107</v>
      </c>
      <c r="B2327" s="3" t="s">
        <v>22</v>
      </c>
      <c r="C2327" s="3" t="str">
        <f>"杜岩岩"</f>
        <v>杜岩岩</v>
      </c>
      <c r="D2327" s="3" t="str">
        <f t="shared" si="224"/>
        <v>女</v>
      </c>
      <c r="E2327" s="3" t="str">
        <f>"2507017908"</f>
        <v>2507017908</v>
      </c>
      <c r="F2327" s="3" t="str">
        <f t="shared" si="225"/>
        <v>79</v>
      </c>
      <c r="G2327" s="4" t="str">
        <f>"08"</f>
        <v>08</v>
      </c>
      <c r="H2327" s="5">
        <v>78.9</v>
      </c>
      <c r="I2327" s="3"/>
    </row>
    <row r="2328" customHeight="1" spans="1:9">
      <c r="A2328" s="3" t="str">
        <f t="shared" si="223"/>
        <v>0107</v>
      </c>
      <c r="B2328" s="3" t="s">
        <v>22</v>
      </c>
      <c r="C2328" s="3" t="str">
        <f>"许丰"</f>
        <v>许丰</v>
      </c>
      <c r="D2328" s="3" t="str">
        <f>"男"</f>
        <v>男</v>
      </c>
      <c r="E2328" s="3" t="str">
        <f>"2507017909"</f>
        <v>2507017909</v>
      </c>
      <c r="F2328" s="3" t="str">
        <f t="shared" si="225"/>
        <v>79</v>
      </c>
      <c r="G2328" s="4" t="str">
        <f>"09"</f>
        <v>09</v>
      </c>
      <c r="H2328" s="5">
        <v>80.8</v>
      </c>
      <c r="I2328" s="3"/>
    </row>
    <row r="2329" customHeight="1" spans="1:9">
      <c r="A2329" s="3" t="str">
        <f t="shared" si="223"/>
        <v>0107</v>
      </c>
      <c r="B2329" s="3" t="s">
        <v>22</v>
      </c>
      <c r="C2329" s="3" t="str">
        <f>"商潇雨"</f>
        <v>商潇雨</v>
      </c>
      <c r="D2329" s="3" t="str">
        <f t="shared" ref="D2329:D2340" si="226">"女"</f>
        <v>女</v>
      </c>
      <c r="E2329" s="3" t="str">
        <f>"2507017910"</f>
        <v>2507017910</v>
      </c>
      <c r="F2329" s="3" t="str">
        <f t="shared" si="225"/>
        <v>79</v>
      </c>
      <c r="G2329" s="4" t="str">
        <f>"10"</f>
        <v>10</v>
      </c>
      <c r="H2329" s="5">
        <v>81.3</v>
      </c>
      <c r="I2329" s="3"/>
    </row>
    <row r="2330" customHeight="1" spans="1:9">
      <c r="A2330" s="3" t="str">
        <f t="shared" si="223"/>
        <v>0107</v>
      </c>
      <c r="B2330" s="3" t="s">
        <v>22</v>
      </c>
      <c r="C2330" s="3" t="str">
        <f>"谢薇"</f>
        <v>谢薇</v>
      </c>
      <c r="D2330" s="3" t="str">
        <f t="shared" si="226"/>
        <v>女</v>
      </c>
      <c r="E2330" s="3" t="str">
        <f>"2507017911"</f>
        <v>2507017911</v>
      </c>
      <c r="F2330" s="3" t="str">
        <f t="shared" si="225"/>
        <v>79</v>
      </c>
      <c r="G2330" s="4" t="str">
        <f>"11"</f>
        <v>11</v>
      </c>
      <c r="H2330" s="5">
        <v>81.9</v>
      </c>
      <c r="I2330" s="3"/>
    </row>
    <row r="2331" customHeight="1" spans="1:9">
      <c r="A2331" s="3" t="str">
        <f t="shared" si="223"/>
        <v>0107</v>
      </c>
      <c r="B2331" s="3" t="s">
        <v>22</v>
      </c>
      <c r="C2331" s="3" t="str">
        <f>"杨春"</f>
        <v>杨春</v>
      </c>
      <c r="D2331" s="3" t="str">
        <f t="shared" si="226"/>
        <v>女</v>
      </c>
      <c r="E2331" s="3" t="str">
        <f>"2507017912"</f>
        <v>2507017912</v>
      </c>
      <c r="F2331" s="3" t="str">
        <f t="shared" si="225"/>
        <v>79</v>
      </c>
      <c r="G2331" s="4" t="str">
        <f>"12"</f>
        <v>12</v>
      </c>
      <c r="H2331" s="5">
        <v>80.3</v>
      </c>
      <c r="I2331" s="3"/>
    </row>
    <row r="2332" customHeight="1" spans="1:9">
      <c r="A2332" s="3" t="str">
        <f t="shared" si="223"/>
        <v>0107</v>
      </c>
      <c r="B2332" s="3" t="s">
        <v>22</v>
      </c>
      <c r="C2332" s="3" t="str">
        <f>"段培婷"</f>
        <v>段培婷</v>
      </c>
      <c r="D2332" s="3" t="str">
        <f t="shared" si="226"/>
        <v>女</v>
      </c>
      <c r="E2332" s="3" t="str">
        <f>"2507017913"</f>
        <v>2507017913</v>
      </c>
      <c r="F2332" s="3" t="str">
        <f t="shared" si="225"/>
        <v>79</v>
      </c>
      <c r="G2332" s="4" t="str">
        <f>"13"</f>
        <v>13</v>
      </c>
      <c r="H2332" s="5">
        <v>72.8</v>
      </c>
      <c r="I2332" s="3"/>
    </row>
    <row r="2333" customHeight="1" spans="1:9">
      <c r="A2333" s="3" t="str">
        <f t="shared" si="223"/>
        <v>0107</v>
      </c>
      <c r="B2333" s="3" t="s">
        <v>22</v>
      </c>
      <c r="C2333" s="3" t="str">
        <f>"张莹莹"</f>
        <v>张莹莹</v>
      </c>
      <c r="D2333" s="3" t="str">
        <f t="shared" si="226"/>
        <v>女</v>
      </c>
      <c r="E2333" s="3" t="str">
        <f>"2507017914"</f>
        <v>2507017914</v>
      </c>
      <c r="F2333" s="3" t="str">
        <f t="shared" si="225"/>
        <v>79</v>
      </c>
      <c r="G2333" s="4" t="str">
        <f>"14"</f>
        <v>14</v>
      </c>
      <c r="H2333" s="5">
        <v>69.4</v>
      </c>
      <c r="I2333" s="3"/>
    </row>
    <row r="2334" customHeight="1" spans="1:9">
      <c r="A2334" s="3" t="str">
        <f t="shared" si="223"/>
        <v>0107</v>
      </c>
      <c r="B2334" s="3" t="s">
        <v>22</v>
      </c>
      <c r="C2334" s="3" t="str">
        <f>"宗展颜"</f>
        <v>宗展颜</v>
      </c>
      <c r="D2334" s="3" t="str">
        <f t="shared" si="226"/>
        <v>女</v>
      </c>
      <c r="E2334" s="3" t="str">
        <f>"2507017915"</f>
        <v>2507017915</v>
      </c>
      <c r="F2334" s="3" t="str">
        <f t="shared" si="225"/>
        <v>79</v>
      </c>
      <c r="G2334" s="4" t="str">
        <f>"15"</f>
        <v>15</v>
      </c>
      <c r="H2334" s="5">
        <v>71.8</v>
      </c>
      <c r="I2334" s="3"/>
    </row>
    <row r="2335" customHeight="1" spans="1:9">
      <c r="A2335" s="3" t="str">
        <f t="shared" si="223"/>
        <v>0107</v>
      </c>
      <c r="B2335" s="3" t="s">
        <v>22</v>
      </c>
      <c r="C2335" s="3" t="str">
        <f>"杨晨"</f>
        <v>杨晨</v>
      </c>
      <c r="D2335" s="3" t="str">
        <f t="shared" si="226"/>
        <v>女</v>
      </c>
      <c r="E2335" s="3" t="str">
        <f>"2507017916"</f>
        <v>2507017916</v>
      </c>
      <c r="F2335" s="3" t="str">
        <f t="shared" si="225"/>
        <v>79</v>
      </c>
      <c r="G2335" s="4" t="str">
        <f>"16"</f>
        <v>16</v>
      </c>
      <c r="H2335" s="5">
        <v>0</v>
      </c>
      <c r="I2335" s="3" t="s">
        <v>11</v>
      </c>
    </row>
    <row r="2336" customHeight="1" spans="1:9">
      <c r="A2336" s="3" t="str">
        <f t="shared" si="223"/>
        <v>0107</v>
      </c>
      <c r="B2336" s="3" t="s">
        <v>22</v>
      </c>
      <c r="C2336" s="3" t="str">
        <f>"王昕玥"</f>
        <v>王昕玥</v>
      </c>
      <c r="D2336" s="3" t="str">
        <f t="shared" si="226"/>
        <v>女</v>
      </c>
      <c r="E2336" s="3" t="str">
        <f>"2507017917"</f>
        <v>2507017917</v>
      </c>
      <c r="F2336" s="3" t="str">
        <f t="shared" si="225"/>
        <v>79</v>
      </c>
      <c r="G2336" s="4" t="str">
        <f>"17"</f>
        <v>17</v>
      </c>
      <c r="H2336" s="5">
        <v>64.8</v>
      </c>
      <c r="I2336" s="3"/>
    </row>
    <row r="2337" customHeight="1" spans="1:9">
      <c r="A2337" s="3" t="str">
        <f t="shared" si="223"/>
        <v>0107</v>
      </c>
      <c r="B2337" s="3" t="s">
        <v>22</v>
      </c>
      <c r="C2337" s="3" t="str">
        <f>"陈瑞玉"</f>
        <v>陈瑞玉</v>
      </c>
      <c r="D2337" s="3" t="str">
        <f t="shared" si="226"/>
        <v>女</v>
      </c>
      <c r="E2337" s="3" t="str">
        <f>"2507017918"</f>
        <v>2507017918</v>
      </c>
      <c r="F2337" s="3" t="str">
        <f t="shared" si="225"/>
        <v>79</v>
      </c>
      <c r="G2337" s="4" t="str">
        <f>"18"</f>
        <v>18</v>
      </c>
      <c r="H2337" s="5">
        <v>73.9</v>
      </c>
      <c r="I2337" s="3"/>
    </row>
    <row r="2338" customHeight="1" spans="1:9">
      <c r="A2338" s="3" t="str">
        <f t="shared" si="223"/>
        <v>0107</v>
      </c>
      <c r="B2338" s="3" t="s">
        <v>22</v>
      </c>
      <c r="C2338" s="3" t="str">
        <f>"朱杰艺"</f>
        <v>朱杰艺</v>
      </c>
      <c r="D2338" s="3" t="str">
        <f t="shared" si="226"/>
        <v>女</v>
      </c>
      <c r="E2338" s="3" t="str">
        <f>"2507017919"</f>
        <v>2507017919</v>
      </c>
      <c r="F2338" s="3" t="str">
        <f t="shared" si="225"/>
        <v>79</v>
      </c>
      <c r="G2338" s="4" t="str">
        <f>"19"</f>
        <v>19</v>
      </c>
      <c r="H2338" s="5">
        <v>84.4</v>
      </c>
      <c r="I2338" s="3"/>
    </row>
    <row r="2339" customHeight="1" spans="1:9">
      <c r="A2339" s="3" t="str">
        <f t="shared" si="223"/>
        <v>0107</v>
      </c>
      <c r="B2339" s="3" t="s">
        <v>22</v>
      </c>
      <c r="C2339" s="3" t="str">
        <f>"孙雨晴"</f>
        <v>孙雨晴</v>
      </c>
      <c r="D2339" s="3" t="str">
        <f t="shared" si="226"/>
        <v>女</v>
      </c>
      <c r="E2339" s="3" t="str">
        <f>"2507017920"</f>
        <v>2507017920</v>
      </c>
      <c r="F2339" s="3" t="str">
        <f t="shared" si="225"/>
        <v>79</v>
      </c>
      <c r="G2339" s="4" t="str">
        <f>"20"</f>
        <v>20</v>
      </c>
      <c r="H2339" s="5">
        <v>59.4</v>
      </c>
      <c r="I2339" s="3"/>
    </row>
    <row r="2340" customHeight="1" spans="1:9">
      <c r="A2340" s="3" t="str">
        <f t="shared" si="223"/>
        <v>0107</v>
      </c>
      <c r="B2340" s="3" t="s">
        <v>22</v>
      </c>
      <c r="C2340" s="3" t="str">
        <f>"王雨茜"</f>
        <v>王雨茜</v>
      </c>
      <c r="D2340" s="3" t="str">
        <f t="shared" si="226"/>
        <v>女</v>
      </c>
      <c r="E2340" s="3" t="str">
        <f>"2507017921"</f>
        <v>2507017921</v>
      </c>
      <c r="F2340" s="3" t="str">
        <f t="shared" si="225"/>
        <v>79</v>
      </c>
      <c r="G2340" s="4" t="str">
        <f>"21"</f>
        <v>21</v>
      </c>
      <c r="H2340" s="5">
        <v>81.9</v>
      </c>
      <c r="I2340" s="3"/>
    </row>
    <row r="2341" customHeight="1" spans="1:9">
      <c r="A2341" s="3" t="str">
        <f t="shared" si="223"/>
        <v>0107</v>
      </c>
      <c r="B2341" s="3" t="s">
        <v>22</v>
      </c>
      <c r="C2341" s="3" t="str">
        <f>"龚俊杰"</f>
        <v>龚俊杰</v>
      </c>
      <c r="D2341" s="3" t="str">
        <f>"男"</f>
        <v>男</v>
      </c>
      <c r="E2341" s="3" t="str">
        <f>"2507017922"</f>
        <v>2507017922</v>
      </c>
      <c r="F2341" s="3" t="str">
        <f t="shared" si="225"/>
        <v>79</v>
      </c>
      <c r="G2341" s="4" t="str">
        <f>"22"</f>
        <v>22</v>
      </c>
      <c r="H2341" s="5">
        <v>70.1</v>
      </c>
      <c r="I2341" s="3"/>
    </row>
    <row r="2342" customHeight="1" spans="1:9">
      <c r="A2342" s="3" t="str">
        <f t="shared" si="223"/>
        <v>0107</v>
      </c>
      <c r="B2342" s="3" t="s">
        <v>22</v>
      </c>
      <c r="C2342" s="3" t="str">
        <f>"孙媛媛"</f>
        <v>孙媛媛</v>
      </c>
      <c r="D2342" s="3" t="str">
        <f>"女"</f>
        <v>女</v>
      </c>
      <c r="E2342" s="3" t="str">
        <f>"2507017923"</f>
        <v>2507017923</v>
      </c>
      <c r="F2342" s="3" t="str">
        <f t="shared" si="225"/>
        <v>79</v>
      </c>
      <c r="G2342" s="4" t="str">
        <f>"23"</f>
        <v>23</v>
      </c>
      <c r="H2342" s="5">
        <v>87.5</v>
      </c>
      <c r="I2342" s="3"/>
    </row>
    <row r="2343" customHeight="1" spans="1:9">
      <c r="A2343" s="3" t="str">
        <f t="shared" si="223"/>
        <v>0107</v>
      </c>
      <c r="B2343" s="3" t="s">
        <v>22</v>
      </c>
      <c r="C2343" s="3" t="str">
        <f>"张为健"</f>
        <v>张为健</v>
      </c>
      <c r="D2343" s="3" t="str">
        <f>"男"</f>
        <v>男</v>
      </c>
      <c r="E2343" s="3" t="str">
        <f>"2507017924"</f>
        <v>2507017924</v>
      </c>
      <c r="F2343" s="3" t="str">
        <f t="shared" si="225"/>
        <v>79</v>
      </c>
      <c r="G2343" s="4" t="str">
        <f>"24"</f>
        <v>24</v>
      </c>
      <c r="H2343" s="5">
        <v>76.1</v>
      </c>
      <c r="I2343" s="3"/>
    </row>
    <row r="2344" customHeight="1" spans="1:9">
      <c r="A2344" s="3" t="str">
        <f t="shared" si="223"/>
        <v>0107</v>
      </c>
      <c r="B2344" s="3" t="s">
        <v>22</v>
      </c>
      <c r="C2344" s="3" t="str">
        <f>"高丽雯"</f>
        <v>高丽雯</v>
      </c>
      <c r="D2344" s="3" t="str">
        <f t="shared" ref="D2344:D2362" si="227">"女"</f>
        <v>女</v>
      </c>
      <c r="E2344" s="3" t="str">
        <f>"2507017925"</f>
        <v>2507017925</v>
      </c>
      <c r="F2344" s="3" t="str">
        <f t="shared" si="225"/>
        <v>79</v>
      </c>
      <c r="G2344" s="4" t="str">
        <f>"25"</f>
        <v>25</v>
      </c>
      <c r="H2344" s="5">
        <v>72.8</v>
      </c>
      <c r="I2344" s="3"/>
    </row>
    <row r="2345" customHeight="1" spans="1:9">
      <c r="A2345" s="3" t="str">
        <f t="shared" si="223"/>
        <v>0107</v>
      </c>
      <c r="B2345" s="3" t="s">
        <v>22</v>
      </c>
      <c r="C2345" s="3" t="str">
        <f>"张爱婷"</f>
        <v>张爱婷</v>
      </c>
      <c r="D2345" s="3" t="str">
        <f t="shared" si="227"/>
        <v>女</v>
      </c>
      <c r="E2345" s="3" t="str">
        <f>"2507017926"</f>
        <v>2507017926</v>
      </c>
      <c r="F2345" s="3" t="str">
        <f t="shared" si="225"/>
        <v>79</v>
      </c>
      <c r="G2345" s="4" t="str">
        <f>"26"</f>
        <v>26</v>
      </c>
      <c r="H2345" s="5">
        <v>81.4</v>
      </c>
      <c r="I2345" s="3"/>
    </row>
    <row r="2346" customHeight="1" spans="1:9">
      <c r="A2346" s="3" t="str">
        <f t="shared" si="223"/>
        <v>0107</v>
      </c>
      <c r="B2346" s="3" t="s">
        <v>22</v>
      </c>
      <c r="C2346" s="3" t="str">
        <f>"涂诗睿"</f>
        <v>涂诗睿</v>
      </c>
      <c r="D2346" s="3" t="str">
        <f t="shared" si="227"/>
        <v>女</v>
      </c>
      <c r="E2346" s="3" t="str">
        <f>"2507017927"</f>
        <v>2507017927</v>
      </c>
      <c r="F2346" s="3" t="str">
        <f t="shared" si="225"/>
        <v>79</v>
      </c>
      <c r="G2346" s="4" t="str">
        <f>"27"</f>
        <v>27</v>
      </c>
      <c r="H2346" s="5">
        <v>0</v>
      </c>
      <c r="I2346" s="3" t="s">
        <v>11</v>
      </c>
    </row>
    <row r="2347" customHeight="1" spans="1:9">
      <c r="A2347" s="3" t="str">
        <f t="shared" si="223"/>
        <v>0107</v>
      </c>
      <c r="B2347" s="3" t="s">
        <v>22</v>
      </c>
      <c r="C2347" s="3" t="str">
        <f>"姚尚"</f>
        <v>姚尚</v>
      </c>
      <c r="D2347" s="3" t="str">
        <f t="shared" si="227"/>
        <v>女</v>
      </c>
      <c r="E2347" s="3" t="str">
        <f>"2507017928"</f>
        <v>2507017928</v>
      </c>
      <c r="F2347" s="3" t="str">
        <f t="shared" si="225"/>
        <v>79</v>
      </c>
      <c r="G2347" s="4" t="str">
        <f>"28"</f>
        <v>28</v>
      </c>
      <c r="H2347" s="5">
        <v>81.7</v>
      </c>
      <c r="I2347" s="3"/>
    </row>
    <row r="2348" customHeight="1" spans="1:9">
      <c r="A2348" s="3" t="str">
        <f t="shared" si="223"/>
        <v>0107</v>
      </c>
      <c r="B2348" s="3" t="s">
        <v>22</v>
      </c>
      <c r="C2348" s="3" t="str">
        <f>"汪兆欣"</f>
        <v>汪兆欣</v>
      </c>
      <c r="D2348" s="3" t="str">
        <f t="shared" si="227"/>
        <v>女</v>
      </c>
      <c r="E2348" s="3" t="str">
        <f>"2507017929"</f>
        <v>2507017929</v>
      </c>
      <c r="F2348" s="3" t="str">
        <f t="shared" si="225"/>
        <v>79</v>
      </c>
      <c r="G2348" s="4" t="str">
        <f>"29"</f>
        <v>29</v>
      </c>
      <c r="H2348" s="5">
        <v>76.9</v>
      </c>
      <c r="I2348" s="3"/>
    </row>
    <row r="2349" customHeight="1" spans="1:9">
      <c r="A2349" s="3" t="str">
        <f t="shared" si="223"/>
        <v>0107</v>
      </c>
      <c r="B2349" s="3" t="s">
        <v>22</v>
      </c>
      <c r="C2349" s="3" t="str">
        <f>"陈丽娜"</f>
        <v>陈丽娜</v>
      </c>
      <c r="D2349" s="3" t="str">
        <f t="shared" si="227"/>
        <v>女</v>
      </c>
      <c r="E2349" s="3" t="str">
        <f>"2507017930"</f>
        <v>2507017930</v>
      </c>
      <c r="F2349" s="3" t="str">
        <f t="shared" si="225"/>
        <v>79</v>
      </c>
      <c r="G2349" s="4" t="str">
        <f>"30"</f>
        <v>30</v>
      </c>
      <c r="H2349" s="5">
        <v>80.4</v>
      </c>
      <c r="I2349" s="3"/>
    </row>
    <row r="2350" customHeight="1" spans="1:9">
      <c r="A2350" s="3" t="str">
        <f t="shared" si="223"/>
        <v>0107</v>
      </c>
      <c r="B2350" s="3" t="s">
        <v>22</v>
      </c>
      <c r="C2350" s="3" t="str">
        <f>"李晨冉"</f>
        <v>李晨冉</v>
      </c>
      <c r="D2350" s="3" t="str">
        <f t="shared" si="227"/>
        <v>女</v>
      </c>
      <c r="E2350" s="3" t="str">
        <f>"2507018001"</f>
        <v>2507018001</v>
      </c>
      <c r="F2350" s="3" t="str">
        <f t="shared" ref="F2350:F2379" si="228">"80"</f>
        <v>80</v>
      </c>
      <c r="G2350" s="4" t="str">
        <f>"01"</f>
        <v>01</v>
      </c>
      <c r="H2350" s="5">
        <v>77.2</v>
      </c>
      <c r="I2350" s="3"/>
    </row>
    <row r="2351" customHeight="1" spans="1:9">
      <c r="A2351" s="3" t="str">
        <f t="shared" si="223"/>
        <v>0107</v>
      </c>
      <c r="B2351" s="3" t="s">
        <v>22</v>
      </c>
      <c r="C2351" s="3" t="str">
        <f>"衡瑞雪"</f>
        <v>衡瑞雪</v>
      </c>
      <c r="D2351" s="3" t="str">
        <f t="shared" si="227"/>
        <v>女</v>
      </c>
      <c r="E2351" s="3" t="str">
        <f>"2507018002"</f>
        <v>2507018002</v>
      </c>
      <c r="F2351" s="3" t="str">
        <f t="shared" si="228"/>
        <v>80</v>
      </c>
      <c r="G2351" s="4" t="str">
        <f>"02"</f>
        <v>02</v>
      </c>
      <c r="H2351" s="5">
        <v>79.8</v>
      </c>
      <c r="I2351" s="3"/>
    </row>
    <row r="2352" customHeight="1" spans="1:9">
      <c r="A2352" s="3" t="str">
        <f t="shared" si="223"/>
        <v>0107</v>
      </c>
      <c r="B2352" s="3" t="s">
        <v>22</v>
      </c>
      <c r="C2352" s="3" t="str">
        <f>"张怡萱"</f>
        <v>张怡萱</v>
      </c>
      <c r="D2352" s="3" t="str">
        <f t="shared" si="227"/>
        <v>女</v>
      </c>
      <c r="E2352" s="3" t="str">
        <f>"2507018003"</f>
        <v>2507018003</v>
      </c>
      <c r="F2352" s="3" t="str">
        <f t="shared" si="228"/>
        <v>80</v>
      </c>
      <c r="G2352" s="4" t="str">
        <f>"03"</f>
        <v>03</v>
      </c>
      <c r="H2352" s="5">
        <v>0</v>
      </c>
      <c r="I2352" s="3" t="s">
        <v>11</v>
      </c>
    </row>
    <row r="2353" customHeight="1" spans="1:9">
      <c r="A2353" s="3" t="str">
        <f t="shared" si="223"/>
        <v>0107</v>
      </c>
      <c r="B2353" s="3" t="s">
        <v>22</v>
      </c>
      <c r="C2353" s="3" t="str">
        <f>"陆函"</f>
        <v>陆函</v>
      </c>
      <c r="D2353" s="3" t="str">
        <f t="shared" si="227"/>
        <v>女</v>
      </c>
      <c r="E2353" s="3" t="str">
        <f>"2507018004"</f>
        <v>2507018004</v>
      </c>
      <c r="F2353" s="3" t="str">
        <f t="shared" si="228"/>
        <v>80</v>
      </c>
      <c r="G2353" s="4" t="str">
        <f>"04"</f>
        <v>04</v>
      </c>
      <c r="H2353" s="5">
        <v>0</v>
      </c>
      <c r="I2353" s="3" t="s">
        <v>11</v>
      </c>
    </row>
    <row r="2354" customHeight="1" spans="1:9">
      <c r="A2354" s="3" t="str">
        <f t="shared" si="223"/>
        <v>0107</v>
      </c>
      <c r="B2354" s="3" t="s">
        <v>22</v>
      </c>
      <c r="C2354" s="3" t="str">
        <f>"张慧敏"</f>
        <v>张慧敏</v>
      </c>
      <c r="D2354" s="3" t="str">
        <f t="shared" si="227"/>
        <v>女</v>
      </c>
      <c r="E2354" s="3" t="str">
        <f>"2507018005"</f>
        <v>2507018005</v>
      </c>
      <c r="F2354" s="3" t="str">
        <f t="shared" si="228"/>
        <v>80</v>
      </c>
      <c r="G2354" s="4" t="str">
        <f>"05"</f>
        <v>05</v>
      </c>
      <c r="H2354" s="5">
        <v>78.2</v>
      </c>
      <c r="I2354" s="3"/>
    </row>
    <row r="2355" customHeight="1" spans="1:9">
      <c r="A2355" s="3" t="str">
        <f t="shared" si="223"/>
        <v>0107</v>
      </c>
      <c r="B2355" s="3" t="s">
        <v>22</v>
      </c>
      <c r="C2355" s="3" t="str">
        <f>"郭亚欣"</f>
        <v>郭亚欣</v>
      </c>
      <c r="D2355" s="3" t="str">
        <f t="shared" si="227"/>
        <v>女</v>
      </c>
      <c r="E2355" s="3" t="str">
        <f>"2507018006"</f>
        <v>2507018006</v>
      </c>
      <c r="F2355" s="3" t="str">
        <f t="shared" si="228"/>
        <v>80</v>
      </c>
      <c r="G2355" s="4" t="str">
        <f>"06"</f>
        <v>06</v>
      </c>
      <c r="H2355" s="5">
        <v>73.4</v>
      </c>
      <c r="I2355" s="3"/>
    </row>
    <row r="2356" customHeight="1" spans="1:9">
      <c r="A2356" s="3" t="str">
        <f t="shared" si="223"/>
        <v>0107</v>
      </c>
      <c r="B2356" s="3" t="s">
        <v>22</v>
      </c>
      <c r="C2356" s="3" t="str">
        <f>"王致莹"</f>
        <v>王致莹</v>
      </c>
      <c r="D2356" s="3" t="str">
        <f t="shared" si="227"/>
        <v>女</v>
      </c>
      <c r="E2356" s="3" t="str">
        <f>"2507018007"</f>
        <v>2507018007</v>
      </c>
      <c r="F2356" s="3" t="str">
        <f t="shared" si="228"/>
        <v>80</v>
      </c>
      <c r="G2356" s="4" t="str">
        <f>"07"</f>
        <v>07</v>
      </c>
      <c r="H2356" s="5">
        <v>79.8</v>
      </c>
      <c r="I2356" s="3"/>
    </row>
    <row r="2357" customHeight="1" spans="1:9">
      <c r="A2357" s="3" t="str">
        <f t="shared" si="223"/>
        <v>0107</v>
      </c>
      <c r="B2357" s="3" t="s">
        <v>22</v>
      </c>
      <c r="C2357" s="3" t="str">
        <f>"王永丽"</f>
        <v>王永丽</v>
      </c>
      <c r="D2357" s="3" t="str">
        <f t="shared" si="227"/>
        <v>女</v>
      </c>
      <c r="E2357" s="3" t="str">
        <f>"2507018008"</f>
        <v>2507018008</v>
      </c>
      <c r="F2357" s="3" t="str">
        <f t="shared" si="228"/>
        <v>80</v>
      </c>
      <c r="G2357" s="4" t="str">
        <f>"08"</f>
        <v>08</v>
      </c>
      <c r="H2357" s="5">
        <v>73.6</v>
      </c>
      <c r="I2357" s="3"/>
    </row>
    <row r="2358" customHeight="1" spans="1:9">
      <c r="A2358" s="3" t="str">
        <f t="shared" si="223"/>
        <v>0107</v>
      </c>
      <c r="B2358" s="3" t="s">
        <v>22</v>
      </c>
      <c r="C2358" s="3" t="str">
        <f>"高晨薇"</f>
        <v>高晨薇</v>
      </c>
      <c r="D2358" s="3" t="str">
        <f t="shared" si="227"/>
        <v>女</v>
      </c>
      <c r="E2358" s="3" t="str">
        <f>"2507018009"</f>
        <v>2507018009</v>
      </c>
      <c r="F2358" s="3" t="str">
        <f t="shared" si="228"/>
        <v>80</v>
      </c>
      <c r="G2358" s="4" t="str">
        <f>"09"</f>
        <v>09</v>
      </c>
      <c r="H2358" s="5">
        <v>0</v>
      </c>
      <c r="I2358" s="3" t="s">
        <v>11</v>
      </c>
    </row>
    <row r="2359" customHeight="1" spans="1:9">
      <c r="A2359" s="3" t="str">
        <f t="shared" si="223"/>
        <v>0107</v>
      </c>
      <c r="B2359" s="3" t="s">
        <v>22</v>
      </c>
      <c r="C2359" s="3" t="str">
        <f>"于培培"</f>
        <v>于培培</v>
      </c>
      <c r="D2359" s="3" t="str">
        <f t="shared" si="227"/>
        <v>女</v>
      </c>
      <c r="E2359" s="3" t="str">
        <f>"2507018010"</f>
        <v>2507018010</v>
      </c>
      <c r="F2359" s="3" t="str">
        <f t="shared" si="228"/>
        <v>80</v>
      </c>
      <c r="G2359" s="4" t="str">
        <f>"10"</f>
        <v>10</v>
      </c>
      <c r="H2359" s="5">
        <v>84.9</v>
      </c>
      <c r="I2359" s="3"/>
    </row>
    <row r="2360" customHeight="1" spans="1:9">
      <c r="A2360" s="3" t="str">
        <f t="shared" si="223"/>
        <v>0107</v>
      </c>
      <c r="B2360" s="3" t="s">
        <v>22</v>
      </c>
      <c r="C2360" s="3" t="str">
        <f>"李圣君"</f>
        <v>李圣君</v>
      </c>
      <c r="D2360" s="3" t="str">
        <f t="shared" si="227"/>
        <v>女</v>
      </c>
      <c r="E2360" s="3" t="str">
        <f>"2507018011"</f>
        <v>2507018011</v>
      </c>
      <c r="F2360" s="3" t="str">
        <f t="shared" si="228"/>
        <v>80</v>
      </c>
      <c r="G2360" s="4" t="str">
        <f>"11"</f>
        <v>11</v>
      </c>
      <c r="H2360" s="5">
        <v>0</v>
      </c>
      <c r="I2360" s="3" t="s">
        <v>11</v>
      </c>
    </row>
    <row r="2361" customHeight="1" spans="1:9">
      <c r="A2361" s="3" t="str">
        <f t="shared" si="223"/>
        <v>0107</v>
      </c>
      <c r="B2361" s="3" t="s">
        <v>22</v>
      </c>
      <c r="C2361" s="3" t="str">
        <f>"李菁"</f>
        <v>李菁</v>
      </c>
      <c r="D2361" s="3" t="str">
        <f t="shared" si="227"/>
        <v>女</v>
      </c>
      <c r="E2361" s="3" t="str">
        <f>"2507018012"</f>
        <v>2507018012</v>
      </c>
      <c r="F2361" s="3" t="str">
        <f t="shared" si="228"/>
        <v>80</v>
      </c>
      <c r="G2361" s="4" t="str">
        <f>"12"</f>
        <v>12</v>
      </c>
      <c r="H2361" s="5">
        <v>69.1</v>
      </c>
      <c r="I2361" s="3"/>
    </row>
    <row r="2362" customHeight="1" spans="1:9">
      <c r="A2362" s="3" t="str">
        <f t="shared" si="223"/>
        <v>0107</v>
      </c>
      <c r="B2362" s="3" t="s">
        <v>22</v>
      </c>
      <c r="C2362" s="3" t="str">
        <f>"王莉莉"</f>
        <v>王莉莉</v>
      </c>
      <c r="D2362" s="3" t="str">
        <f t="shared" si="227"/>
        <v>女</v>
      </c>
      <c r="E2362" s="3" t="str">
        <f>"2507018013"</f>
        <v>2507018013</v>
      </c>
      <c r="F2362" s="3" t="str">
        <f t="shared" si="228"/>
        <v>80</v>
      </c>
      <c r="G2362" s="4" t="str">
        <f>"13"</f>
        <v>13</v>
      </c>
      <c r="H2362" s="5">
        <v>0</v>
      </c>
      <c r="I2362" s="3" t="s">
        <v>11</v>
      </c>
    </row>
    <row r="2363" customHeight="1" spans="1:9">
      <c r="A2363" s="3" t="str">
        <f t="shared" si="223"/>
        <v>0107</v>
      </c>
      <c r="B2363" s="3" t="s">
        <v>22</v>
      </c>
      <c r="C2363" s="3" t="str">
        <f>"范文德"</f>
        <v>范文德</v>
      </c>
      <c r="D2363" s="3" t="str">
        <f>"男"</f>
        <v>男</v>
      </c>
      <c r="E2363" s="3" t="str">
        <f>"2507018014"</f>
        <v>2507018014</v>
      </c>
      <c r="F2363" s="3" t="str">
        <f t="shared" si="228"/>
        <v>80</v>
      </c>
      <c r="G2363" s="4" t="str">
        <f>"14"</f>
        <v>14</v>
      </c>
      <c r="H2363" s="5">
        <v>64.7</v>
      </c>
      <c r="I2363" s="3"/>
    </row>
    <row r="2364" customHeight="1" spans="1:9">
      <c r="A2364" s="3" t="str">
        <f t="shared" si="223"/>
        <v>0107</v>
      </c>
      <c r="B2364" s="3" t="s">
        <v>22</v>
      </c>
      <c r="C2364" s="3" t="str">
        <f>"蔡天舒"</f>
        <v>蔡天舒</v>
      </c>
      <c r="D2364" s="3" t="str">
        <f t="shared" ref="D2364:D2370" si="229">"女"</f>
        <v>女</v>
      </c>
      <c r="E2364" s="3" t="str">
        <f>"2507018015"</f>
        <v>2507018015</v>
      </c>
      <c r="F2364" s="3" t="str">
        <f t="shared" si="228"/>
        <v>80</v>
      </c>
      <c r="G2364" s="4" t="str">
        <f>"15"</f>
        <v>15</v>
      </c>
      <c r="H2364" s="5">
        <v>78.9</v>
      </c>
      <c r="I2364" s="3"/>
    </row>
    <row r="2365" customHeight="1" spans="1:9">
      <c r="A2365" s="3" t="str">
        <f t="shared" si="223"/>
        <v>0107</v>
      </c>
      <c r="B2365" s="3" t="s">
        <v>22</v>
      </c>
      <c r="C2365" s="3" t="str">
        <f>"刘景雪"</f>
        <v>刘景雪</v>
      </c>
      <c r="D2365" s="3" t="str">
        <f t="shared" si="229"/>
        <v>女</v>
      </c>
      <c r="E2365" s="3" t="str">
        <f>"2507018016"</f>
        <v>2507018016</v>
      </c>
      <c r="F2365" s="3" t="str">
        <f t="shared" si="228"/>
        <v>80</v>
      </c>
      <c r="G2365" s="4" t="str">
        <f>"16"</f>
        <v>16</v>
      </c>
      <c r="H2365" s="5">
        <v>82.8</v>
      </c>
      <c r="I2365" s="3"/>
    </row>
    <row r="2366" customHeight="1" spans="1:9">
      <c r="A2366" s="3" t="str">
        <f t="shared" ref="A2366:A2429" si="230">"0107"</f>
        <v>0107</v>
      </c>
      <c r="B2366" s="3" t="s">
        <v>22</v>
      </c>
      <c r="C2366" s="3" t="str">
        <f>"吴丹"</f>
        <v>吴丹</v>
      </c>
      <c r="D2366" s="3" t="str">
        <f t="shared" si="229"/>
        <v>女</v>
      </c>
      <c r="E2366" s="3" t="str">
        <f>"2507018017"</f>
        <v>2507018017</v>
      </c>
      <c r="F2366" s="3" t="str">
        <f t="shared" si="228"/>
        <v>80</v>
      </c>
      <c r="G2366" s="4" t="str">
        <f>"17"</f>
        <v>17</v>
      </c>
      <c r="H2366" s="5">
        <v>85.4</v>
      </c>
      <c r="I2366" s="3"/>
    </row>
    <row r="2367" customHeight="1" spans="1:9">
      <c r="A2367" s="3" t="str">
        <f t="shared" si="230"/>
        <v>0107</v>
      </c>
      <c r="B2367" s="3" t="s">
        <v>22</v>
      </c>
      <c r="C2367" s="3" t="str">
        <f>"陆晴"</f>
        <v>陆晴</v>
      </c>
      <c r="D2367" s="3" t="str">
        <f t="shared" si="229"/>
        <v>女</v>
      </c>
      <c r="E2367" s="3" t="str">
        <f>"2507018018"</f>
        <v>2507018018</v>
      </c>
      <c r="F2367" s="3" t="str">
        <f t="shared" si="228"/>
        <v>80</v>
      </c>
      <c r="G2367" s="4" t="str">
        <f>"18"</f>
        <v>18</v>
      </c>
      <c r="H2367" s="5">
        <v>67.7</v>
      </c>
      <c r="I2367" s="3"/>
    </row>
    <row r="2368" customHeight="1" spans="1:9">
      <c r="A2368" s="3" t="str">
        <f t="shared" si="230"/>
        <v>0107</v>
      </c>
      <c r="B2368" s="3" t="s">
        <v>22</v>
      </c>
      <c r="C2368" s="3" t="str">
        <f>"陈雨"</f>
        <v>陈雨</v>
      </c>
      <c r="D2368" s="3" t="str">
        <f t="shared" si="229"/>
        <v>女</v>
      </c>
      <c r="E2368" s="3" t="str">
        <f>"2507018019"</f>
        <v>2507018019</v>
      </c>
      <c r="F2368" s="3" t="str">
        <f t="shared" si="228"/>
        <v>80</v>
      </c>
      <c r="G2368" s="4" t="str">
        <f>"19"</f>
        <v>19</v>
      </c>
      <c r="H2368" s="5">
        <v>83.2</v>
      </c>
      <c r="I2368" s="3"/>
    </row>
    <row r="2369" customHeight="1" spans="1:9">
      <c r="A2369" s="3" t="str">
        <f t="shared" si="230"/>
        <v>0107</v>
      </c>
      <c r="B2369" s="3" t="s">
        <v>22</v>
      </c>
      <c r="C2369" s="3" t="str">
        <f>"李昱莹"</f>
        <v>李昱莹</v>
      </c>
      <c r="D2369" s="3" t="str">
        <f t="shared" si="229"/>
        <v>女</v>
      </c>
      <c r="E2369" s="3" t="str">
        <f>"2507018020"</f>
        <v>2507018020</v>
      </c>
      <c r="F2369" s="3" t="str">
        <f t="shared" si="228"/>
        <v>80</v>
      </c>
      <c r="G2369" s="4" t="str">
        <f>"20"</f>
        <v>20</v>
      </c>
      <c r="H2369" s="5">
        <v>77.2</v>
      </c>
      <c r="I2369" s="3"/>
    </row>
    <row r="2370" customHeight="1" spans="1:9">
      <c r="A2370" s="3" t="str">
        <f t="shared" si="230"/>
        <v>0107</v>
      </c>
      <c r="B2370" s="3" t="s">
        <v>22</v>
      </c>
      <c r="C2370" s="3" t="str">
        <f>"李静"</f>
        <v>李静</v>
      </c>
      <c r="D2370" s="3" t="str">
        <f t="shared" si="229"/>
        <v>女</v>
      </c>
      <c r="E2370" s="3" t="str">
        <f>"2507018021"</f>
        <v>2507018021</v>
      </c>
      <c r="F2370" s="3" t="str">
        <f t="shared" si="228"/>
        <v>80</v>
      </c>
      <c r="G2370" s="4" t="str">
        <f>"21"</f>
        <v>21</v>
      </c>
      <c r="H2370" s="5">
        <v>0</v>
      </c>
      <c r="I2370" s="3" t="s">
        <v>11</v>
      </c>
    </row>
    <row r="2371" customHeight="1" spans="1:9">
      <c r="A2371" s="3" t="str">
        <f t="shared" si="230"/>
        <v>0107</v>
      </c>
      <c r="B2371" s="3" t="s">
        <v>22</v>
      </c>
      <c r="C2371" s="3" t="str">
        <f>"李文达"</f>
        <v>李文达</v>
      </c>
      <c r="D2371" s="3" t="str">
        <f>"男"</f>
        <v>男</v>
      </c>
      <c r="E2371" s="3" t="str">
        <f>"2507018022"</f>
        <v>2507018022</v>
      </c>
      <c r="F2371" s="3" t="str">
        <f t="shared" si="228"/>
        <v>80</v>
      </c>
      <c r="G2371" s="4" t="str">
        <f>"22"</f>
        <v>22</v>
      </c>
      <c r="H2371" s="5">
        <v>0</v>
      </c>
      <c r="I2371" s="3" t="s">
        <v>11</v>
      </c>
    </row>
    <row r="2372" customHeight="1" spans="1:9">
      <c r="A2372" s="3" t="str">
        <f t="shared" si="230"/>
        <v>0107</v>
      </c>
      <c r="B2372" s="3" t="s">
        <v>22</v>
      </c>
      <c r="C2372" s="3" t="str">
        <f>"杨秀茹"</f>
        <v>杨秀茹</v>
      </c>
      <c r="D2372" s="3" t="str">
        <f t="shared" ref="D2372:D2381" si="231">"女"</f>
        <v>女</v>
      </c>
      <c r="E2372" s="3" t="str">
        <f>"2507018023"</f>
        <v>2507018023</v>
      </c>
      <c r="F2372" s="3" t="str">
        <f t="shared" si="228"/>
        <v>80</v>
      </c>
      <c r="G2372" s="4" t="str">
        <f>"23"</f>
        <v>23</v>
      </c>
      <c r="H2372" s="5">
        <v>62.8</v>
      </c>
      <c r="I2372" s="3"/>
    </row>
    <row r="2373" customHeight="1" spans="1:9">
      <c r="A2373" s="3" t="str">
        <f t="shared" si="230"/>
        <v>0107</v>
      </c>
      <c r="B2373" s="3" t="s">
        <v>22</v>
      </c>
      <c r="C2373" s="3" t="str">
        <f>"刘小熠"</f>
        <v>刘小熠</v>
      </c>
      <c r="D2373" s="3" t="str">
        <f t="shared" si="231"/>
        <v>女</v>
      </c>
      <c r="E2373" s="3" t="str">
        <f>"2507018024"</f>
        <v>2507018024</v>
      </c>
      <c r="F2373" s="3" t="str">
        <f t="shared" si="228"/>
        <v>80</v>
      </c>
      <c r="G2373" s="4" t="str">
        <f>"24"</f>
        <v>24</v>
      </c>
      <c r="H2373" s="5">
        <v>72.4</v>
      </c>
      <c r="I2373" s="3"/>
    </row>
    <row r="2374" customHeight="1" spans="1:9">
      <c r="A2374" s="3" t="str">
        <f t="shared" si="230"/>
        <v>0107</v>
      </c>
      <c r="B2374" s="3" t="s">
        <v>22</v>
      </c>
      <c r="C2374" s="3" t="str">
        <f>"张莉"</f>
        <v>张莉</v>
      </c>
      <c r="D2374" s="3" t="str">
        <f t="shared" si="231"/>
        <v>女</v>
      </c>
      <c r="E2374" s="3" t="str">
        <f>"2507018025"</f>
        <v>2507018025</v>
      </c>
      <c r="F2374" s="3" t="str">
        <f t="shared" si="228"/>
        <v>80</v>
      </c>
      <c r="G2374" s="4" t="str">
        <f>"25"</f>
        <v>25</v>
      </c>
      <c r="H2374" s="5">
        <v>79.3</v>
      </c>
      <c r="I2374" s="3"/>
    </row>
    <row r="2375" customHeight="1" spans="1:9">
      <c r="A2375" s="3" t="str">
        <f t="shared" si="230"/>
        <v>0107</v>
      </c>
      <c r="B2375" s="3" t="s">
        <v>22</v>
      </c>
      <c r="C2375" s="3" t="str">
        <f>"武梦寒"</f>
        <v>武梦寒</v>
      </c>
      <c r="D2375" s="3" t="str">
        <f t="shared" si="231"/>
        <v>女</v>
      </c>
      <c r="E2375" s="3" t="str">
        <f>"2507018026"</f>
        <v>2507018026</v>
      </c>
      <c r="F2375" s="3" t="str">
        <f t="shared" si="228"/>
        <v>80</v>
      </c>
      <c r="G2375" s="4" t="str">
        <f>"26"</f>
        <v>26</v>
      </c>
      <c r="H2375" s="5">
        <v>77.1</v>
      </c>
      <c r="I2375" s="3"/>
    </row>
    <row r="2376" customHeight="1" spans="1:9">
      <c r="A2376" s="3" t="str">
        <f t="shared" si="230"/>
        <v>0107</v>
      </c>
      <c r="B2376" s="3" t="s">
        <v>22</v>
      </c>
      <c r="C2376" s="3" t="str">
        <f>"潘俊如"</f>
        <v>潘俊如</v>
      </c>
      <c r="D2376" s="3" t="str">
        <f t="shared" si="231"/>
        <v>女</v>
      </c>
      <c r="E2376" s="3" t="str">
        <f>"2507018027"</f>
        <v>2507018027</v>
      </c>
      <c r="F2376" s="3" t="str">
        <f t="shared" si="228"/>
        <v>80</v>
      </c>
      <c r="G2376" s="4" t="str">
        <f>"27"</f>
        <v>27</v>
      </c>
      <c r="H2376" s="5">
        <v>75.2</v>
      </c>
      <c r="I2376" s="3"/>
    </row>
    <row r="2377" customHeight="1" spans="1:9">
      <c r="A2377" s="3" t="str">
        <f t="shared" si="230"/>
        <v>0107</v>
      </c>
      <c r="B2377" s="3" t="s">
        <v>22</v>
      </c>
      <c r="C2377" s="3" t="str">
        <f>"苏景"</f>
        <v>苏景</v>
      </c>
      <c r="D2377" s="3" t="str">
        <f t="shared" si="231"/>
        <v>女</v>
      </c>
      <c r="E2377" s="3" t="str">
        <f>"2507018028"</f>
        <v>2507018028</v>
      </c>
      <c r="F2377" s="3" t="str">
        <f t="shared" si="228"/>
        <v>80</v>
      </c>
      <c r="G2377" s="4" t="str">
        <f>"28"</f>
        <v>28</v>
      </c>
      <c r="H2377" s="5">
        <v>78</v>
      </c>
      <c r="I2377" s="3"/>
    </row>
    <row r="2378" customHeight="1" spans="1:9">
      <c r="A2378" s="3" t="str">
        <f t="shared" si="230"/>
        <v>0107</v>
      </c>
      <c r="B2378" s="3" t="s">
        <v>22</v>
      </c>
      <c r="C2378" s="3" t="str">
        <f>"孙静利"</f>
        <v>孙静利</v>
      </c>
      <c r="D2378" s="3" t="str">
        <f t="shared" si="231"/>
        <v>女</v>
      </c>
      <c r="E2378" s="3" t="str">
        <f>"2507018029"</f>
        <v>2507018029</v>
      </c>
      <c r="F2378" s="3" t="str">
        <f t="shared" si="228"/>
        <v>80</v>
      </c>
      <c r="G2378" s="4" t="str">
        <f>"29"</f>
        <v>29</v>
      </c>
      <c r="H2378" s="5">
        <v>76.5</v>
      </c>
      <c r="I2378" s="3"/>
    </row>
    <row r="2379" customHeight="1" spans="1:9">
      <c r="A2379" s="3" t="str">
        <f t="shared" si="230"/>
        <v>0107</v>
      </c>
      <c r="B2379" s="3" t="s">
        <v>22</v>
      </c>
      <c r="C2379" s="3" t="str">
        <f>"李秋辰"</f>
        <v>李秋辰</v>
      </c>
      <c r="D2379" s="3" t="str">
        <f t="shared" si="231"/>
        <v>女</v>
      </c>
      <c r="E2379" s="3" t="str">
        <f>"2507018030"</f>
        <v>2507018030</v>
      </c>
      <c r="F2379" s="3" t="str">
        <f t="shared" si="228"/>
        <v>80</v>
      </c>
      <c r="G2379" s="4" t="str">
        <f>"30"</f>
        <v>30</v>
      </c>
      <c r="H2379" s="5">
        <v>65.7</v>
      </c>
      <c r="I2379" s="3"/>
    </row>
    <row r="2380" customHeight="1" spans="1:9">
      <c r="A2380" s="3" t="str">
        <f t="shared" si="230"/>
        <v>0107</v>
      </c>
      <c r="B2380" s="3" t="s">
        <v>22</v>
      </c>
      <c r="C2380" s="3" t="str">
        <f>"谭唤"</f>
        <v>谭唤</v>
      </c>
      <c r="D2380" s="3" t="str">
        <f t="shared" si="231"/>
        <v>女</v>
      </c>
      <c r="E2380" s="3" t="str">
        <f>"2507018101"</f>
        <v>2507018101</v>
      </c>
      <c r="F2380" s="3" t="str">
        <f t="shared" ref="F2380:F2409" si="232">"81"</f>
        <v>81</v>
      </c>
      <c r="G2380" s="4" t="str">
        <f>"01"</f>
        <v>01</v>
      </c>
      <c r="H2380" s="5">
        <v>83.4</v>
      </c>
      <c r="I2380" s="3"/>
    </row>
    <row r="2381" customHeight="1" spans="1:9">
      <c r="A2381" s="3" t="str">
        <f t="shared" si="230"/>
        <v>0107</v>
      </c>
      <c r="B2381" s="3" t="s">
        <v>22</v>
      </c>
      <c r="C2381" s="3" t="str">
        <f>"胡倩"</f>
        <v>胡倩</v>
      </c>
      <c r="D2381" s="3" t="str">
        <f t="shared" si="231"/>
        <v>女</v>
      </c>
      <c r="E2381" s="3" t="str">
        <f>"2507018102"</f>
        <v>2507018102</v>
      </c>
      <c r="F2381" s="3" t="str">
        <f t="shared" si="232"/>
        <v>81</v>
      </c>
      <c r="G2381" s="4" t="str">
        <f>"02"</f>
        <v>02</v>
      </c>
      <c r="H2381" s="5">
        <v>63.5</v>
      </c>
      <c r="I2381" s="3"/>
    </row>
    <row r="2382" customHeight="1" spans="1:9">
      <c r="A2382" s="3" t="str">
        <f t="shared" si="230"/>
        <v>0107</v>
      </c>
      <c r="B2382" s="3" t="s">
        <v>22</v>
      </c>
      <c r="C2382" s="3" t="str">
        <f>"江添悦"</f>
        <v>江添悦</v>
      </c>
      <c r="D2382" s="3" t="str">
        <f>"男"</f>
        <v>男</v>
      </c>
      <c r="E2382" s="3" t="str">
        <f>"2507018103"</f>
        <v>2507018103</v>
      </c>
      <c r="F2382" s="3" t="str">
        <f t="shared" si="232"/>
        <v>81</v>
      </c>
      <c r="G2382" s="4" t="str">
        <f>"03"</f>
        <v>03</v>
      </c>
      <c r="H2382" s="5">
        <v>0</v>
      </c>
      <c r="I2382" s="3" t="s">
        <v>11</v>
      </c>
    </row>
    <row r="2383" customHeight="1" spans="1:9">
      <c r="A2383" s="3" t="str">
        <f t="shared" si="230"/>
        <v>0107</v>
      </c>
      <c r="B2383" s="3" t="s">
        <v>22</v>
      </c>
      <c r="C2383" s="3" t="str">
        <f>"狄宇星"</f>
        <v>狄宇星</v>
      </c>
      <c r="D2383" s="3" t="str">
        <f>"男"</f>
        <v>男</v>
      </c>
      <c r="E2383" s="3" t="str">
        <f>"2507018104"</f>
        <v>2507018104</v>
      </c>
      <c r="F2383" s="3" t="str">
        <f t="shared" si="232"/>
        <v>81</v>
      </c>
      <c r="G2383" s="4" t="str">
        <f>"04"</f>
        <v>04</v>
      </c>
      <c r="H2383" s="5">
        <v>72.6</v>
      </c>
      <c r="I2383" s="3"/>
    </row>
    <row r="2384" customHeight="1" spans="1:9">
      <c r="A2384" s="3" t="str">
        <f t="shared" si="230"/>
        <v>0107</v>
      </c>
      <c r="B2384" s="3" t="s">
        <v>22</v>
      </c>
      <c r="C2384" s="3" t="str">
        <f>"韦庆上"</f>
        <v>韦庆上</v>
      </c>
      <c r="D2384" s="3" t="str">
        <f>"男"</f>
        <v>男</v>
      </c>
      <c r="E2384" s="3" t="str">
        <f>"2507018105"</f>
        <v>2507018105</v>
      </c>
      <c r="F2384" s="3" t="str">
        <f t="shared" si="232"/>
        <v>81</v>
      </c>
      <c r="G2384" s="4" t="str">
        <f>"05"</f>
        <v>05</v>
      </c>
      <c r="H2384" s="5">
        <v>77.1</v>
      </c>
      <c r="I2384" s="3"/>
    </row>
    <row r="2385" customHeight="1" spans="1:9">
      <c r="A2385" s="3" t="str">
        <f t="shared" si="230"/>
        <v>0107</v>
      </c>
      <c r="B2385" s="3" t="s">
        <v>22</v>
      </c>
      <c r="C2385" s="3" t="str">
        <f>"王妍琪"</f>
        <v>王妍琪</v>
      </c>
      <c r="D2385" s="3" t="str">
        <f>"女"</f>
        <v>女</v>
      </c>
      <c r="E2385" s="3" t="str">
        <f>"2507018106"</f>
        <v>2507018106</v>
      </c>
      <c r="F2385" s="3" t="str">
        <f t="shared" si="232"/>
        <v>81</v>
      </c>
      <c r="G2385" s="4" t="str">
        <f>"06"</f>
        <v>06</v>
      </c>
      <c r="H2385" s="5">
        <v>0</v>
      </c>
      <c r="I2385" s="3" t="s">
        <v>11</v>
      </c>
    </row>
    <row r="2386" customHeight="1" spans="1:9">
      <c r="A2386" s="3" t="str">
        <f t="shared" si="230"/>
        <v>0107</v>
      </c>
      <c r="B2386" s="3" t="s">
        <v>22</v>
      </c>
      <c r="C2386" s="3" t="str">
        <f>"黄亚男"</f>
        <v>黄亚男</v>
      </c>
      <c r="D2386" s="3" t="str">
        <f>"女"</f>
        <v>女</v>
      </c>
      <c r="E2386" s="3" t="str">
        <f>"2507018107"</f>
        <v>2507018107</v>
      </c>
      <c r="F2386" s="3" t="str">
        <f t="shared" si="232"/>
        <v>81</v>
      </c>
      <c r="G2386" s="4" t="str">
        <f>"07"</f>
        <v>07</v>
      </c>
      <c r="H2386" s="5">
        <v>80.2</v>
      </c>
      <c r="I2386" s="3"/>
    </row>
    <row r="2387" customHeight="1" spans="1:9">
      <c r="A2387" s="3" t="str">
        <f t="shared" si="230"/>
        <v>0107</v>
      </c>
      <c r="B2387" s="3" t="s">
        <v>22</v>
      </c>
      <c r="C2387" s="3" t="str">
        <f>"王喜喜"</f>
        <v>王喜喜</v>
      </c>
      <c r="D2387" s="3" t="str">
        <f>"女"</f>
        <v>女</v>
      </c>
      <c r="E2387" s="3" t="str">
        <f>"2507018108"</f>
        <v>2507018108</v>
      </c>
      <c r="F2387" s="3" t="str">
        <f t="shared" si="232"/>
        <v>81</v>
      </c>
      <c r="G2387" s="4" t="str">
        <f>"08"</f>
        <v>08</v>
      </c>
      <c r="H2387" s="5">
        <v>0</v>
      </c>
      <c r="I2387" s="3" t="s">
        <v>11</v>
      </c>
    </row>
    <row r="2388" customHeight="1" spans="1:9">
      <c r="A2388" s="3" t="str">
        <f t="shared" si="230"/>
        <v>0107</v>
      </c>
      <c r="B2388" s="3" t="s">
        <v>22</v>
      </c>
      <c r="C2388" s="3" t="str">
        <f>"朱明仁"</f>
        <v>朱明仁</v>
      </c>
      <c r="D2388" s="3" t="str">
        <f>"男"</f>
        <v>男</v>
      </c>
      <c r="E2388" s="3" t="str">
        <f>"2507018109"</f>
        <v>2507018109</v>
      </c>
      <c r="F2388" s="3" t="str">
        <f t="shared" si="232"/>
        <v>81</v>
      </c>
      <c r="G2388" s="4" t="str">
        <f>"09"</f>
        <v>09</v>
      </c>
      <c r="H2388" s="5">
        <v>78.3</v>
      </c>
      <c r="I2388" s="3"/>
    </row>
    <row r="2389" customHeight="1" spans="1:9">
      <c r="A2389" s="3" t="str">
        <f t="shared" si="230"/>
        <v>0107</v>
      </c>
      <c r="B2389" s="3" t="s">
        <v>22</v>
      </c>
      <c r="C2389" s="3" t="str">
        <f>"周耘仿"</f>
        <v>周耘仿</v>
      </c>
      <c r="D2389" s="3" t="str">
        <f t="shared" ref="D2389:D2394" si="233">"女"</f>
        <v>女</v>
      </c>
      <c r="E2389" s="3" t="str">
        <f>"2507018110"</f>
        <v>2507018110</v>
      </c>
      <c r="F2389" s="3" t="str">
        <f t="shared" si="232"/>
        <v>81</v>
      </c>
      <c r="G2389" s="4" t="str">
        <f>"10"</f>
        <v>10</v>
      </c>
      <c r="H2389" s="5">
        <v>82.5</v>
      </c>
      <c r="I2389" s="3"/>
    </row>
    <row r="2390" customHeight="1" spans="1:9">
      <c r="A2390" s="3" t="str">
        <f t="shared" si="230"/>
        <v>0107</v>
      </c>
      <c r="B2390" s="3" t="s">
        <v>22</v>
      </c>
      <c r="C2390" s="3" t="str">
        <f>"孙馨悦"</f>
        <v>孙馨悦</v>
      </c>
      <c r="D2390" s="3" t="str">
        <f t="shared" si="233"/>
        <v>女</v>
      </c>
      <c r="E2390" s="3" t="str">
        <f>"2507018111"</f>
        <v>2507018111</v>
      </c>
      <c r="F2390" s="3" t="str">
        <f t="shared" si="232"/>
        <v>81</v>
      </c>
      <c r="G2390" s="4" t="str">
        <f>"11"</f>
        <v>11</v>
      </c>
      <c r="H2390" s="5">
        <v>66.3</v>
      </c>
      <c r="I2390" s="3"/>
    </row>
    <row r="2391" customHeight="1" spans="1:9">
      <c r="A2391" s="3" t="str">
        <f t="shared" si="230"/>
        <v>0107</v>
      </c>
      <c r="B2391" s="3" t="s">
        <v>22</v>
      </c>
      <c r="C2391" s="3" t="str">
        <f>"李扬子"</f>
        <v>李扬子</v>
      </c>
      <c r="D2391" s="3" t="str">
        <f t="shared" si="233"/>
        <v>女</v>
      </c>
      <c r="E2391" s="3" t="str">
        <f>"2507018112"</f>
        <v>2507018112</v>
      </c>
      <c r="F2391" s="3" t="str">
        <f t="shared" si="232"/>
        <v>81</v>
      </c>
      <c r="G2391" s="4" t="str">
        <f>"12"</f>
        <v>12</v>
      </c>
      <c r="H2391" s="5">
        <v>0</v>
      </c>
      <c r="I2391" s="3" t="s">
        <v>11</v>
      </c>
    </row>
    <row r="2392" customHeight="1" spans="1:9">
      <c r="A2392" s="3" t="str">
        <f t="shared" si="230"/>
        <v>0107</v>
      </c>
      <c r="B2392" s="3" t="s">
        <v>22</v>
      </c>
      <c r="C2392" s="3" t="str">
        <f>"常淑婷"</f>
        <v>常淑婷</v>
      </c>
      <c r="D2392" s="3" t="str">
        <f t="shared" si="233"/>
        <v>女</v>
      </c>
      <c r="E2392" s="3" t="str">
        <f>"2507018113"</f>
        <v>2507018113</v>
      </c>
      <c r="F2392" s="3" t="str">
        <f t="shared" si="232"/>
        <v>81</v>
      </c>
      <c r="G2392" s="4" t="str">
        <f>"13"</f>
        <v>13</v>
      </c>
      <c r="H2392" s="5">
        <v>0</v>
      </c>
      <c r="I2392" s="3" t="s">
        <v>11</v>
      </c>
    </row>
    <row r="2393" customHeight="1" spans="1:9">
      <c r="A2393" s="3" t="str">
        <f t="shared" si="230"/>
        <v>0107</v>
      </c>
      <c r="B2393" s="3" t="s">
        <v>22</v>
      </c>
      <c r="C2393" s="3" t="str">
        <f>"唐少焱"</f>
        <v>唐少焱</v>
      </c>
      <c r="D2393" s="3" t="str">
        <f t="shared" si="233"/>
        <v>女</v>
      </c>
      <c r="E2393" s="3" t="str">
        <f>"2507018114"</f>
        <v>2507018114</v>
      </c>
      <c r="F2393" s="3" t="str">
        <f t="shared" si="232"/>
        <v>81</v>
      </c>
      <c r="G2393" s="4" t="str">
        <f>"14"</f>
        <v>14</v>
      </c>
      <c r="H2393" s="5">
        <v>0</v>
      </c>
      <c r="I2393" s="3" t="s">
        <v>11</v>
      </c>
    </row>
    <row r="2394" customHeight="1" spans="1:9">
      <c r="A2394" s="3" t="str">
        <f t="shared" si="230"/>
        <v>0107</v>
      </c>
      <c r="B2394" s="3" t="s">
        <v>22</v>
      </c>
      <c r="C2394" s="3" t="str">
        <f>"刘思琦"</f>
        <v>刘思琦</v>
      </c>
      <c r="D2394" s="3" t="str">
        <f t="shared" si="233"/>
        <v>女</v>
      </c>
      <c r="E2394" s="3" t="str">
        <f>"2507018115"</f>
        <v>2507018115</v>
      </c>
      <c r="F2394" s="3" t="str">
        <f t="shared" si="232"/>
        <v>81</v>
      </c>
      <c r="G2394" s="4" t="str">
        <f>"15"</f>
        <v>15</v>
      </c>
      <c r="H2394" s="5">
        <v>60.5</v>
      </c>
      <c r="I2394" s="3"/>
    </row>
    <row r="2395" customHeight="1" spans="1:9">
      <c r="A2395" s="3" t="str">
        <f t="shared" si="230"/>
        <v>0107</v>
      </c>
      <c r="B2395" s="3" t="s">
        <v>22</v>
      </c>
      <c r="C2395" s="3" t="str">
        <f>"吴士轩"</f>
        <v>吴士轩</v>
      </c>
      <c r="D2395" s="3" t="str">
        <f>"男"</f>
        <v>男</v>
      </c>
      <c r="E2395" s="3" t="str">
        <f>"2507018116"</f>
        <v>2507018116</v>
      </c>
      <c r="F2395" s="3" t="str">
        <f t="shared" si="232"/>
        <v>81</v>
      </c>
      <c r="G2395" s="4" t="str">
        <f>"16"</f>
        <v>16</v>
      </c>
      <c r="H2395" s="5">
        <v>80</v>
      </c>
      <c r="I2395" s="3"/>
    </row>
    <row r="2396" customHeight="1" spans="1:9">
      <c r="A2396" s="3" t="str">
        <f t="shared" si="230"/>
        <v>0107</v>
      </c>
      <c r="B2396" s="3" t="s">
        <v>22</v>
      </c>
      <c r="C2396" s="3" t="str">
        <f>"傅心雨"</f>
        <v>傅心雨</v>
      </c>
      <c r="D2396" s="3" t="str">
        <f>"女"</f>
        <v>女</v>
      </c>
      <c r="E2396" s="3" t="str">
        <f>"2507018117"</f>
        <v>2507018117</v>
      </c>
      <c r="F2396" s="3" t="str">
        <f t="shared" si="232"/>
        <v>81</v>
      </c>
      <c r="G2396" s="4" t="str">
        <f>"17"</f>
        <v>17</v>
      </c>
      <c r="H2396" s="5">
        <v>75.1</v>
      </c>
      <c r="I2396" s="3"/>
    </row>
    <row r="2397" customHeight="1" spans="1:9">
      <c r="A2397" s="3" t="str">
        <f t="shared" si="230"/>
        <v>0107</v>
      </c>
      <c r="B2397" s="3" t="s">
        <v>22</v>
      </c>
      <c r="C2397" s="3" t="str">
        <f>"朱迪"</f>
        <v>朱迪</v>
      </c>
      <c r="D2397" s="3" t="str">
        <f>"女"</f>
        <v>女</v>
      </c>
      <c r="E2397" s="3" t="str">
        <f>"2507018118"</f>
        <v>2507018118</v>
      </c>
      <c r="F2397" s="3" t="str">
        <f t="shared" si="232"/>
        <v>81</v>
      </c>
      <c r="G2397" s="4" t="str">
        <f>"18"</f>
        <v>18</v>
      </c>
      <c r="H2397" s="5">
        <v>71.7</v>
      </c>
      <c r="I2397" s="3"/>
    </row>
    <row r="2398" customHeight="1" spans="1:9">
      <c r="A2398" s="3" t="str">
        <f t="shared" si="230"/>
        <v>0107</v>
      </c>
      <c r="B2398" s="3" t="s">
        <v>22</v>
      </c>
      <c r="C2398" s="3" t="str">
        <f>"王硕"</f>
        <v>王硕</v>
      </c>
      <c r="D2398" s="3" t="str">
        <f>"男"</f>
        <v>男</v>
      </c>
      <c r="E2398" s="3" t="str">
        <f>"2507018119"</f>
        <v>2507018119</v>
      </c>
      <c r="F2398" s="3" t="str">
        <f t="shared" si="232"/>
        <v>81</v>
      </c>
      <c r="G2398" s="4" t="str">
        <f>"19"</f>
        <v>19</v>
      </c>
      <c r="H2398" s="5">
        <v>75</v>
      </c>
      <c r="I2398" s="3"/>
    </row>
    <row r="2399" customHeight="1" spans="1:9">
      <c r="A2399" s="3" t="str">
        <f t="shared" si="230"/>
        <v>0107</v>
      </c>
      <c r="B2399" s="3" t="s">
        <v>22</v>
      </c>
      <c r="C2399" s="3" t="str">
        <f>"郭蒙蒙"</f>
        <v>郭蒙蒙</v>
      </c>
      <c r="D2399" s="3" t="str">
        <f>"女"</f>
        <v>女</v>
      </c>
      <c r="E2399" s="3" t="str">
        <f>"2507018120"</f>
        <v>2507018120</v>
      </c>
      <c r="F2399" s="3" t="str">
        <f t="shared" si="232"/>
        <v>81</v>
      </c>
      <c r="G2399" s="4" t="str">
        <f>"20"</f>
        <v>20</v>
      </c>
      <c r="H2399" s="5">
        <v>73.3</v>
      </c>
      <c r="I2399" s="3"/>
    </row>
    <row r="2400" customHeight="1" spans="1:9">
      <c r="A2400" s="3" t="str">
        <f t="shared" si="230"/>
        <v>0107</v>
      </c>
      <c r="B2400" s="3" t="s">
        <v>22</v>
      </c>
      <c r="C2400" s="3" t="str">
        <f>"孙哲"</f>
        <v>孙哲</v>
      </c>
      <c r="D2400" s="3" t="str">
        <f>"男"</f>
        <v>男</v>
      </c>
      <c r="E2400" s="3" t="str">
        <f>"2507018121"</f>
        <v>2507018121</v>
      </c>
      <c r="F2400" s="3" t="str">
        <f t="shared" si="232"/>
        <v>81</v>
      </c>
      <c r="G2400" s="4" t="str">
        <f>"21"</f>
        <v>21</v>
      </c>
      <c r="H2400" s="5">
        <v>0</v>
      </c>
      <c r="I2400" s="3" t="s">
        <v>11</v>
      </c>
    </row>
    <row r="2401" customHeight="1" spans="1:9">
      <c r="A2401" s="3" t="str">
        <f t="shared" si="230"/>
        <v>0107</v>
      </c>
      <c r="B2401" s="3" t="s">
        <v>22</v>
      </c>
      <c r="C2401" s="3" t="str">
        <f>"徐畅"</f>
        <v>徐畅</v>
      </c>
      <c r="D2401" s="3" t="str">
        <f>"女"</f>
        <v>女</v>
      </c>
      <c r="E2401" s="3" t="str">
        <f>"2507018122"</f>
        <v>2507018122</v>
      </c>
      <c r="F2401" s="3" t="str">
        <f t="shared" si="232"/>
        <v>81</v>
      </c>
      <c r="G2401" s="4" t="str">
        <f>"22"</f>
        <v>22</v>
      </c>
      <c r="H2401" s="5">
        <v>49.7</v>
      </c>
      <c r="I2401" s="3"/>
    </row>
    <row r="2402" customHeight="1" spans="1:9">
      <c r="A2402" s="3" t="str">
        <f t="shared" si="230"/>
        <v>0107</v>
      </c>
      <c r="B2402" s="3" t="s">
        <v>22</v>
      </c>
      <c r="C2402" s="3" t="str">
        <f>"张展硕"</f>
        <v>张展硕</v>
      </c>
      <c r="D2402" s="3" t="str">
        <f>"男"</f>
        <v>男</v>
      </c>
      <c r="E2402" s="3" t="str">
        <f>"2507018123"</f>
        <v>2507018123</v>
      </c>
      <c r="F2402" s="3" t="str">
        <f t="shared" si="232"/>
        <v>81</v>
      </c>
      <c r="G2402" s="4" t="str">
        <f>"23"</f>
        <v>23</v>
      </c>
      <c r="H2402" s="5">
        <v>0</v>
      </c>
      <c r="I2402" s="3" t="s">
        <v>11</v>
      </c>
    </row>
    <row r="2403" customHeight="1" spans="1:9">
      <c r="A2403" s="3" t="str">
        <f t="shared" si="230"/>
        <v>0107</v>
      </c>
      <c r="B2403" s="3" t="s">
        <v>22</v>
      </c>
      <c r="C2403" s="3" t="str">
        <f>"金其远"</f>
        <v>金其远</v>
      </c>
      <c r="D2403" s="3" t="str">
        <f>"男"</f>
        <v>男</v>
      </c>
      <c r="E2403" s="3" t="str">
        <f>"2507018124"</f>
        <v>2507018124</v>
      </c>
      <c r="F2403" s="3" t="str">
        <f t="shared" si="232"/>
        <v>81</v>
      </c>
      <c r="G2403" s="4" t="str">
        <f>"24"</f>
        <v>24</v>
      </c>
      <c r="H2403" s="5">
        <v>80</v>
      </c>
      <c r="I2403" s="3"/>
    </row>
    <row r="2404" customHeight="1" spans="1:9">
      <c r="A2404" s="3" t="str">
        <f t="shared" si="230"/>
        <v>0107</v>
      </c>
      <c r="B2404" s="3" t="s">
        <v>22</v>
      </c>
      <c r="C2404" s="3" t="str">
        <f>"吴慧慧"</f>
        <v>吴慧慧</v>
      </c>
      <c r="D2404" s="3" t="str">
        <f>"女"</f>
        <v>女</v>
      </c>
      <c r="E2404" s="3" t="str">
        <f>"2507018125"</f>
        <v>2507018125</v>
      </c>
      <c r="F2404" s="3" t="str">
        <f t="shared" si="232"/>
        <v>81</v>
      </c>
      <c r="G2404" s="4" t="str">
        <f>"25"</f>
        <v>25</v>
      </c>
      <c r="H2404" s="5">
        <v>0</v>
      </c>
      <c r="I2404" s="3" t="s">
        <v>11</v>
      </c>
    </row>
    <row r="2405" customHeight="1" spans="1:9">
      <c r="A2405" s="3" t="str">
        <f t="shared" si="230"/>
        <v>0107</v>
      </c>
      <c r="B2405" s="3" t="s">
        <v>22</v>
      </c>
      <c r="C2405" s="3" t="str">
        <f>"闵菲"</f>
        <v>闵菲</v>
      </c>
      <c r="D2405" s="3" t="str">
        <f>"女"</f>
        <v>女</v>
      </c>
      <c r="E2405" s="3" t="str">
        <f>"2507018126"</f>
        <v>2507018126</v>
      </c>
      <c r="F2405" s="3" t="str">
        <f t="shared" si="232"/>
        <v>81</v>
      </c>
      <c r="G2405" s="4" t="str">
        <f>"26"</f>
        <v>26</v>
      </c>
      <c r="H2405" s="5">
        <v>79.3</v>
      </c>
      <c r="I2405" s="3"/>
    </row>
    <row r="2406" customHeight="1" spans="1:9">
      <c r="A2406" s="3" t="str">
        <f t="shared" si="230"/>
        <v>0107</v>
      </c>
      <c r="B2406" s="3" t="s">
        <v>22</v>
      </c>
      <c r="C2406" s="3" t="str">
        <f>"蔡逸鹏"</f>
        <v>蔡逸鹏</v>
      </c>
      <c r="D2406" s="3" t="str">
        <f>"男"</f>
        <v>男</v>
      </c>
      <c r="E2406" s="3" t="str">
        <f>"2507018127"</f>
        <v>2507018127</v>
      </c>
      <c r="F2406" s="3" t="str">
        <f t="shared" si="232"/>
        <v>81</v>
      </c>
      <c r="G2406" s="4" t="str">
        <f>"27"</f>
        <v>27</v>
      </c>
      <c r="H2406" s="5">
        <v>58.9</v>
      </c>
      <c r="I2406" s="3"/>
    </row>
    <row r="2407" customHeight="1" spans="1:9">
      <c r="A2407" s="3" t="str">
        <f t="shared" si="230"/>
        <v>0107</v>
      </c>
      <c r="B2407" s="3" t="s">
        <v>22</v>
      </c>
      <c r="C2407" s="3" t="str">
        <f>"杨军"</f>
        <v>杨军</v>
      </c>
      <c r="D2407" s="3" t="str">
        <f>"男"</f>
        <v>男</v>
      </c>
      <c r="E2407" s="3" t="str">
        <f>"2507018128"</f>
        <v>2507018128</v>
      </c>
      <c r="F2407" s="3" t="str">
        <f t="shared" si="232"/>
        <v>81</v>
      </c>
      <c r="G2407" s="4" t="str">
        <f>"28"</f>
        <v>28</v>
      </c>
      <c r="H2407" s="5">
        <v>0</v>
      </c>
      <c r="I2407" s="3" t="s">
        <v>11</v>
      </c>
    </row>
    <row r="2408" customHeight="1" spans="1:9">
      <c r="A2408" s="3" t="str">
        <f t="shared" si="230"/>
        <v>0107</v>
      </c>
      <c r="B2408" s="3" t="s">
        <v>22</v>
      </c>
      <c r="C2408" s="3" t="str">
        <f>"孙文"</f>
        <v>孙文</v>
      </c>
      <c r="D2408" s="3" t="str">
        <f>"女"</f>
        <v>女</v>
      </c>
      <c r="E2408" s="3" t="str">
        <f>"2507018129"</f>
        <v>2507018129</v>
      </c>
      <c r="F2408" s="3" t="str">
        <f t="shared" si="232"/>
        <v>81</v>
      </c>
      <c r="G2408" s="4" t="str">
        <f>"29"</f>
        <v>29</v>
      </c>
      <c r="H2408" s="5">
        <v>79.8</v>
      </c>
      <c r="I2408" s="3"/>
    </row>
    <row r="2409" customHeight="1" spans="1:9">
      <c r="A2409" s="3" t="str">
        <f t="shared" si="230"/>
        <v>0107</v>
      </c>
      <c r="B2409" s="3" t="s">
        <v>22</v>
      </c>
      <c r="C2409" s="3" t="str">
        <f>"马延月"</f>
        <v>马延月</v>
      </c>
      <c r="D2409" s="3" t="str">
        <f>"女"</f>
        <v>女</v>
      </c>
      <c r="E2409" s="3" t="str">
        <f>"2507018130"</f>
        <v>2507018130</v>
      </c>
      <c r="F2409" s="3" t="str">
        <f t="shared" si="232"/>
        <v>81</v>
      </c>
      <c r="G2409" s="4" t="str">
        <f>"30"</f>
        <v>30</v>
      </c>
      <c r="H2409" s="5">
        <v>0</v>
      </c>
      <c r="I2409" s="3" t="s">
        <v>11</v>
      </c>
    </row>
    <row r="2410" customHeight="1" spans="1:9">
      <c r="A2410" s="3" t="str">
        <f t="shared" si="230"/>
        <v>0107</v>
      </c>
      <c r="B2410" s="3" t="s">
        <v>22</v>
      </c>
      <c r="C2410" s="3" t="str">
        <f>"范佳乐"</f>
        <v>范佳乐</v>
      </c>
      <c r="D2410" s="3" t="str">
        <f>"女"</f>
        <v>女</v>
      </c>
      <c r="E2410" s="3" t="str">
        <f>"2507018201"</f>
        <v>2507018201</v>
      </c>
      <c r="F2410" s="3" t="str">
        <f t="shared" ref="F2410:F2439" si="234">"82"</f>
        <v>82</v>
      </c>
      <c r="G2410" s="4" t="str">
        <f>"01"</f>
        <v>01</v>
      </c>
      <c r="H2410" s="5">
        <v>84.9</v>
      </c>
      <c r="I2410" s="3"/>
    </row>
    <row r="2411" customHeight="1" spans="1:9">
      <c r="A2411" s="3" t="str">
        <f t="shared" si="230"/>
        <v>0107</v>
      </c>
      <c r="B2411" s="3" t="s">
        <v>22</v>
      </c>
      <c r="C2411" s="3" t="str">
        <f>"王诚"</f>
        <v>王诚</v>
      </c>
      <c r="D2411" s="3" t="str">
        <f>"男"</f>
        <v>男</v>
      </c>
      <c r="E2411" s="3" t="str">
        <f>"2507018202"</f>
        <v>2507018202</v>
      </c>
      <c r="F2411" s="3" t="str">
        <f t="shared" si="234"/>
        <v>82</v>
      </c>
      <c r="G2411" s="4" t="str">
        <f>"02"</f>
        <v>02</v>
      </c>
      <c r="H2411" s="5">
        <v>0</v>
      </c>
      <c r="I2411" s="3" t="s">
        <v>11</v>
      </c>
    </row>
    <row r="2412" customHeight="1" spans="1:9">
      <c r="A2412" s="3" t="str">
        <f t="shared" si="230"/>
        <v>0107</v>
      </c>
      <c r="B2412" s="3" t="s">
        <v>22</v>
      </c>
      <c r="C2412" s="3" t="str">
        <f>"韩雨辰"</f>
        <v>韩雨辰</v>
      </c>
      <c r="D2412" s="3" t="str">
        <f>"女"</f>
        <v>女</v>
      </c>
      <c r="E2412" s="3" t="str">
        <f>"2507018203"</f>
        <v>2507018203</v>
      </c>
      <c r="F2412" s="3" t="str">
        <f t="shared" si="234"/>
        <v>82</v>
      </c>
      <c r="G2412" s="4" t="str">
        <f>"03"</f>
        <v>03</v>
      </c>
      <c r="H2412" s="5">
        <v>84.5</v>
      </c>
      <c r="I2412" s="3"/>
    </row>
    <row r="2413" customHeight="1" spans="1:9">
      <c r="A2413" s="3" t="str">
        <f t="shared" si="230"/>
        <v>0107</v>
      </c>
      <c r="B2413" s="3" t="s">
        <v>22</v>
      </c>
      <c r="C2413" s="3" t="str">
        <f>"刘崔妍"</f>
        <v>刘崔妍</v>
      </c>
      <c r="D2413" s="3" t="str">
        <f>"女"</f>
        <v>女</v>
      </c>
      <c r="E2413" s="3" t="str">
        <f>"2507018204"</f>
        <v>2507018204</v>
      </c>
      <c r="F2413" s="3" t="str">
        <f t="shared" si="234"/>
        <v>82</v>
      </c>
      <c r="G2413" s="4" t="str">
        <f>"04"</f>
        <v>04</v>
      </c>
      <c r="H2413" s="5">
        <v>0</v>
      </c>
      <c r="I2413" s="3" t="s">
        <v>11</v>
      </c>
    </row>
    <row r="2414" customHeight="1" spans="1:9">
      <c r="A2414" s="3" t="str">
        <f t="shared" si="230"/>
        <v>0107</v>
      </c>
      <c r="B2414" s="3" t="s">
        <v>22</v>
      </c>
      <c r="C2414" s="3" t="str">
        <f>"邱慕尧"</f>
        <v>邱慕尧</v>
      </c>
      <c r="D2414" s="3" t="str">
        <f>"男"</f>
        <v>男</v>
      </c>
      <c r="E2414" s="3" t="str">
        <f>"2507018205"</f>
        <v>2507018205</v>
      </c>
      <c r="F2414" s="3" t="str">
        <f t="shared" si="234"/>
        <v>82</v>
      </c>
      <c r="G2414" s="4" t="str">
        <f>"05"</f>
        <v>05</v>
      </c>
      <c r="H2414" s="5">
        <v>78.6</v>
      </c>
      <c r="I2414" s="3"/>
    </row>
    <row r="2415" customHeight="1" spans="1:9">
      <c r="A2415" s="3" t="str">
        <f t="shared" si="230"/>
        <v>0107</v>
      </c>
      <c r="B2415" s="3" t="s">
        <v>22</v>
      </c>
      <c r="C2415" s="3" t="str">
        <f>"王凌琚"</f>
        <v>王凌琚</v>
      </c>
      <c r="D2415" s="3" t="str">
        <f>"女"</f>
        <v>女</v>
      </c>
      <c r="E2415" s="3" t="str">
        <f>"2507018206"</f>
        <v>2507018206</v>
      </c>
      <c r="F2415" s="3" t="str">
        <f t="shared" si="234"/>
        <v>82</v>
      </c>
      <c r="G2415" s="4" t="str">
        <f>"06"</f>
        <v>06</v>
      </c>
      <c r="H2415" s="5">
        <v>73.8</v>
      </c>
      <c r="I2415" s="3"/>
    </row>
    <row r="2416" customHeight="1" spans="1:9">
      <c r="A2416" s="3" t="str">
        <f t="shared" si="230"/>
        <v>0107</v>
      </c>
      <c r="B2416" s="3" t="s">
        <v>22</v>
      </c>
      <c r="C2416" s="3" t="str">
        <f>"张璐"</f>
        <v>张璐</v>
      </c>
      <c r="D2416" s="3" t="str">
        <f>"女"</f>
        <v>女</v>
      </c>
      <c r="E2416" s="3" t="str">
        <f>"2507018207"</f>
        <v>2507018207</v>
      </c>
      <c r="F2416" s="3" t="str">
        <f t="shared" si="234"/>
        <v>82</v>
      </c>
      <c r="G2416" s="4" t="str">
        <f>"07"</f>
        <v>07</v>
      </c>
      <c r="H2416" s="5">
        <v>84.3</v>
      </c>
      <c r="I2416" s="3"/>
    </row>
    <row r="2417" customHeight="1" spans="1:9">
      <c r="A2417" s="3" t="str">
        <f t="shared" si="230"/>
        <v>0107</v>
      </c>
      <c r="B2417" s="3" t="s">
        <v>22</v>
      </c>
      <c r="C2417" s="3" t="str">
        <f>"金莎莎"</f>
        <v>金莎莎</v>
      </c>
      <c r="D2417" s="3" t="str">
        <f>"女"</f>
        <v>女</v>
      </c>
      <c r="E2417" s="3" t="str">
        <f>"2507018208"</f>
        <v>2507018208</v>
      </c>
      <c r="F2417" s="3" t="str">
        <f t="shared" si="234"/>
        <v>82</v>
      </c>
      <c r="G2417" s="4" t="str">
        <f>"08"</f>
        <v>08</v>
      </c>
      <c r="H2417" s="5">
        <v>0</v>
      </c>
      <c r="I2417" s="3" t="s">
        <v>11</v>
      </c>
    </row>
    <row r="2418" customHeight="1" spans="1:9">
      <c r="A2418" s="3" t="str">
        <f t="shared" si="230"/>
        <v>0107</v>
      </c>
      <c r="B2418" s="3" t="s">
        <v>22</v>
      </c>
      <c r="C2418" s="3" t="str">
        <f>"姬祥生"</f>
        <v>姬祥生</v>
      </c>
      <c r="D2418" s="3" t="str">
        <f>"男"</f>
        <v>男</v>
      </c>
      <c r="E2418" s="3" t="str">
        <f>"2507018209"</f>
        <v>2507018209</v>
      </c>
      <c r="F2418" s="3" t="str">
        <f t="shared" si="234"/>
        <v>82</v>
      </c>
      <c r="G2418" s="4" t="str">
        <f>"09"</f>
        <v>09</v>
      </c>
      <c r="H2418" s="5">
        <v>78.3</v>
      </c>
      <c r="I2418" s="3"/>
    </row>
    <row r="2419" customHeight="1" spans="1:9">
      <c r="A2419" s="3" t="str">
        <f t="shared" si="230"/>
        <v>0107</v>
      </c>
      <c r="B2419" s="3" t="s">
        <v>22</v>
      </c>
      <c r="C2419" s="3" t="str">
        <f>"范议"</f>
        <v>范议</v>
      </c>
      <c r="D2419" s="3" t="str">
        <f>"男"</f>
        <v>男</v>
      </c>
      <c r="E2419" s="3" t="str">
        <f>"2507018210"</f>
        <v>2507018210</v>
      </c>
      <c r="F2419" s="3" t="str">
        <f t="shared" si="234"/>
        <v>82</v>
      </c>
      <c r="G2419" s="4" t="str">
        <f>"10"</f>
        <v>10</v>
      </c>
      <c r="H2419" s="5">
        <v>63.9</v>
      </c>
      <c r="I2419" s="3"/>
    </row>
    <row r="2420" customHeight="1" spans="1:9">
      <c r="A2420" s="3" t="str">
        <f t="shared" si="230"/>
        <v>0107</v>
      </c>
      <c r="B2420" s="3" t="s">
        <v>22</v>
      </c>
      <c r="C2420" s="3" t="str">
        <f>"韩承晓"</f>
        <v>韩承晓</v>
      </c>
      <c r="D2420" s="3" t="str">
        <f>"女"</f>
        <v>女</v>
      </c>
      <c r="E2420" s="3" t="str">
        <f>"2507018211"</f>
        <v>2507018211</v>
      </c>
      <c r="F2420" s="3" t="str">
        <f t="shared" si="234"/>
        <v>82</v>
      </c>
      <c r="G2420" s="4" t="str">
        <f>"11"</f>
        <v>11</v>
      </c>
      <c r="H2420" s="5">
        <v>0</v>
      </c>
      <c r="I2420" s="3" t="s">
        <v>11</v>
      </c>
    </row>
    <row r="2421" customHeight="1" spans="1:9">
      <c r="A2421" s="3" t="str">
        <f t="shared" si="230"/>
        <v>0107</v>
      </c>
      <c r="B2421" s="3" t="s">
        <v>22</v>
      </c>
      <c r="C2421" s="3" t="str">
        <f>"赵苑婷"</f>
        <v>赵苑婷</v>
      </c>
      <c r="D2421" s="3" t="str">
        <f>"女"</f>
        <v>女</v>
      </c>
      <c r="E2421" s="3" t="str">
        <f>"2507018212"</f>
        <v>2507018212</v>
      </c>
      <c r="F2421" s="3" t="str">
        <f t="shared" si="234"/>
        <v>82</v>
      </c>
      <c r="G2421" s="4" t="str">
        <f>"12"</f>
        <v>12</v>
      </c>
      <c r="H2421" s="5">
        <v>58.3</v>
      </c>
      <c r="I2421" s="3"/>
    </row>
    <row r="2422" customHeight="1" spans="1:9">
      <c r="A2422" s="3" t="str">
        <f t="shared" si="230"/>
        <v>0107</v>
      </c>
      <c r="B2422" s="3" t="s">
        <v>22</v>
      </c>
      <c r="C2422" s="3" t="str">
        <f>"王飞"</f>
        <v>王飞</v>
      </c>
      <c r="D2422" s="3" t="str">
        <f>"男"</f>
        <v>男</v>
      </c>
      <c r="E2422" s="3" t="str">
        <f>"2507018213"</f>
        <v>2507018213</v>
      </c>
      <c r="F2422" s="3" t="str">
        <f t="shared" si="234"/>
        <v>82</v>
      </c>
      <c r="G2422" s="4" t="str">
        <f>"13"</f>
        <v>13</v>
      </c>
      <c r="H2422" s="5">
        <v>78.2</v>
      </c>
      <c r="I2422" s="3"/>
    </row>
    <row r="2423" customHeight="1" spans="1:9">
      <c r="A2423" s="3" t="str">
        <f t="shared" si="230"/>
        <v>0107</v>
      </c>
      <c r="B2423" s="3" t="s">
        <v>22</v>
      </c>
      <c r="C2423" s="3" t="str">
        <f>"罗剑平"</f>
        <v>罗剑平</v>
      </c>
      <c r="D2423" s="3" t="str">
        <f>"男"</f>
        <v>男</v>
      </c>
      <c r="E2423" s="3" t="str">
        <f>"2507018214"</f>
        <v>2507018214</v>
      </c>
      <c r="F2423" s="3" t="str">
        <f t="shared" si="234"/>
        <v>82</v>
      </c>
      <c r="G2423" s="4" t="str">
        <f>"14"</f>
        <v>14</v>
      </c>
      <c r="H2423" s="5">
        <v>0</v>
      </c>
      <c r="I2423" s="3" t="s">
        <v>11</v>
      </c>
    </row>
    <row r="2424" customHeight="1" spans="1:9">
      <c r="A2424" s="3" t="str">
        <f t="shared" si="230"/>
        <v>0107</v>
      </c>
      <c r="B2424" s="3" t="s">
        <v>22</v>
      </c>
      <c r="C2424" s="3" t="str">
        <f>"许范文"</f>
        <v>许范文</v>
      </c>
      <c r="D2424" s="3" t="str">
        <f>"男"</f>
        <v>男</v>
      </c>
      <c r="E2424" s="3" t="str">
        <f>"2507018215"</f>
        <v>2507018215</v>
      </c>
      <c r="F2424" s="3" t="str">
        <f t="shared" si="234"/>
        <v>82</v>
      </c>
      <c r="G2424" s="4" t="str">
        <f>"15"</f>
        <v>15</v>
      </c>
      <c r="H2424" s="5">
        <v>65.6</v>
      </c>
      <c r="I2424" s="3"/>
    </row>
    <row r="2425" customHeight="1" spans="1:9">
      <c r="A2425" s="3" t="str">
        <f t="shared" si="230"/>
        <v>0107</v>
      </c>
      <c r="B2425" s="3" t="s">
        <v>22</v>
      </c>
      <c r="C2425" s="3" t="str">
        <f>"刘沐榕"</f>
        <v>刘沐榕</v>
      </c>
      <c r="D2425" s="3" t="str">
        <f t="shared" ref="D2425:D2431" si="235">"女"</f>
        <v>女</v>
      </c>
      <c r="E2425" s="3" t="str">
        <f>"2507018216"</f>
        <v>2507018216</v>
      </c>
      <c r="F2425" s="3" t="str">
        <f t="shared" si="234"/>
        <v>82</v>
      </c>
      <c r="G2425" s="4" t="str">
        <f>"16"</f>
        <v>16</v>
      </c>
      <c r="H2425" s="5">
        <v>65.2</v>
      </c>
      <c r="I2425" s="3"/>
    </row>
    <row r="2426" customHeight="1" spans="1:9">
      <c r="A2426" s="3" t="str">
        <f t="shared" si="230"/>
        <v>0107</v>
      </c>
      <c r="B2426" s="3" t="s">
        <v>22</v>
      </c>
      <c r="C2426" s="3" t="str">
        <f>"张雨瑶"</f>
        <v>张雨瑶</v>
      </c>
      <c r="D2426" s="3" t="str">
        <f t="shared" si="235"/>
        <v>女</v>
      </c>
      <c r="E2426" s="3" t="str">
        <f>"2507018217"</f>
        <v>2507018217</v>
      </c>
      <c r="F2426" s="3" t="str">
        <f t="shared" si="234"/>
        <v>82</v>
      </c>
      <c r="G2426" s="4" t="str">
        <f>"17"</f>
        <v>17</v>
      </c>
      <c r="H2426" s="5">
        <v>0</v>
      </c>
      <c r="I2426" s="3" t="s">
        <v>11</v>
      </c>
    </row>
    <row r="2427" customHeight="1" spans="1:9">
      <c r="A2427" s="3" t="str">
        <f t="shared" si="230"/>
        <v>0107</v>
      </c>
      <c r="B2427" s="3" t="s">
        <v>22</v>
      </c>
      <c r="C2427" s="3" t="str">
        <f>"王成娟"</f>
        <v>王成娟</v>
      </c>
      <c r="D2427" s="3" t="str">
        <f t="shared" si="235"/>
        <v>女</v>
      </c>
      <c r="E2427" s="3" t="str">
        <f>"2507018218"</f>
        <v>2507018218</v>
      </c>
      <c r="F2427" s="3" t="str">
        <f t="shared" si="234"/>
        <v>82</v>
      </c>
      <c r="G2427" s="4" t="str">
        <f>"18"</f>
        <v>18</v>
      </c>
      <c r="H2427" s="5">
        <v>79.2</v>
      </c>
      <c r="I2427" s="3"/>
    </row>
    <row r="2428" customHeight="1" spans="1:9">
      <c r="A2428" s="3" t="str">
        <f t="shared" si="230"/>
        <v>0107</v>
      </c>
      <c r="B2428" s="3" t="s">
        <v>22</v>
      </c>
      <c r="C2428" s="3" t="str">
        <f>"袁月"</f>
        <v>袁月</v>
      </c>
      <c r="D2428" s="3" t="str">
        <f t="shared" si="235"/>
        <v>女</v>
      </c>
      <c r="E2428" s="3" t="str">
        <f>"2507018219"</f>
        <v>2507018219</v>
      </c>
      <c r="F2428" s="3" t="str">
        <f t="shared" si="234"/>
        <v>82</v>
      </c>
      <c r="G2428" s="4" t="str">
        <f>"19"</f>
        <v>19</v>
      </c>
      <c r="H2428" s="5">
        <v>0</v>
      </c>
      <c r="I2428" s="3" t="s">
        <v>11</v>
      </c>
    </row>
    <row r="2429" customHeight="1" spans="1:9">
      <c r="A2429" s="3" t="str">
        <f t="shared" si="230"/>
        <v>0107</v>
      </c>
      <c r="B2429" s="3" t="s">
        <v>22</v>
      </c>
      <c r="C2429" s="3" t="str">
        <f>"董琪"</f>
        <v>董琪</v>
      </c>
      <c r="D2429" s="3" t="str">
        <f t="shared" si="235"/>
        <v>女</v>
      </c>
      <c r="E2429" s="3" t="str">
        <f>"2507018220"</f>
        <v>2507018220</v>
      </c>
      <c r="F2429" s="3" t="str">
        <f t="shared" si="234"/>
        <v>82</v>
      </c>
      <c r="G2429" s="4" t="str">
        <f>"20"</f>
        <v>20</v>
      </c>
      <c r="H2429" s="5">
        <v>0</v>
      </c>
      <c r="I2429" s="3" t="s">
        <v>11</v>
      </c>
    </row>
    <row r="2430" customHeight="1" spans="1:9">
      <c r="A2430" s="3" t="str">
        <f t="shared" ref="A2430:A2493" si="236">"0107"</f>
        <v>0107</v>
      </c>
      <c r="B2430" s="3" t="s">
        <v>22</v>
      </c>
      <c r="C2430" s="3" t="str">
        <f>"张红妮"</f>
        <v>张红妮</v>
      </c>
      <c r="D2430" s="3" t="str">
        <f t="shared" si="235"/>
        <v>女</v>
      </c>
      <c r="E2430" s="3" t="str">
        <f>"2507018221"</f>
        <v>2507018221</v>
      </c>
      <c r="F2430" s="3" t="str">
        <f t="shared" si="234"/>
        <v>82</v>
      </c>
      <c r="G2430" s="4" t="str">
        <f>"21"</f>
        <v>21</v>
      </c>
      <c r="H2430" s="5">
        <v>0</v>
      </c>
      <c r="I2430" s="3" t="s">
        <v>11</v>
      </c>
    </row>
    <row r="2431" customHeight="1" spans="1:9">
      <c r="A2431" s="3" t="str">
        <f t="shared" si="236"/>
        <v>0107</v>
      </c>
      <c r="B2431" s="3" t="s">
        <v>22</v>
      </c>
      <c r="C2431" s="3" t="str">
        <f>"赵雪琦"</f>
        <v>赵雪琦</v>
      </c>
      <c r="D2431" s="3" t="str">
        <f t="shared" si="235"/>
        <v>女</v>
      </c>
      <c r="E2431" s="3" t="str">
        <f>"2507018222"</f>
        <v>2507018222</v>
      </c>
      <c r="F2431" s="3" t="str">
        <f t="shared" si="234"/>
        <v>82</v>
      </c>
      <c r="G2431" s="4" t="str">
        <f>"22"</f>
        <v>22</v>
      </c>
      <c r="H2431" s="5">
        <v>79.7</v>
      </c>
      <c r="I2431" s="3"/>
    </row>
    <row r="2432" customHeight="1" spans="1:9">
      <c r="A2432" s="3" t="str">
        <f t="shared" si="236"/>
        <v>0107</v>
      </c>
      <c r="B2432" s="3" t="s">
        <v>22</v>
      </c>
      <c r="C2432" s="3" t="str">
        <f>"张扬"</f>
        <v>张扬</v>
      </c>
      <c r="D2432" s="3" t="str">
        <f>"男"</f>
        <v>男</v>
      </c>
      <c r="E2432" s="3" t="str">
        <f>"2507018223"</f>
        <v>2507018223</v>
      </c>
      <c r="F2432" s="3" t="str">
        <f t="shared" si="234"/>
        <v>82</v>
      </c>
      <c r="G2432" s="4" t="str">
        <f>"23"</f>
        <v>23</v>
      </c>
      <c r="H2432" s="5">
        <v>0</v>
      </c>
      <c r="I2432" s="3" t="s">
        <v>11</v>
      </c>
    </row>
    <row r="2433" customHeight="1" spans="1:9">
      <c r="A2433" s="3" t="str">
        <f t="shared" si="236"/>
        <v>0107</v>
      </c>
      <c r="B2433" s="3" t="s">
        <v>22</v>
      </c>
      <c r="C2433" s="3" t="str">
        <f>"宋雪颖"</f>
        <v>宋雪颖</v>
      </c>
      <c r="D2433" s="3" t="str">
        <f t="shared" ref="D2433:D2439" si="237">"女"</f>
        <v>女</v>
      </c>
      <c r="E2433" s="3" t="str">
        <f>"2507018224"</f>
        <v>2507018224</v>
      </c>
      <c r="F2433" s="3" t="str">
        <f t="shared" si="234"/>
        <v>82</v>
      </c>
      <c r="G2433" s="4" t="str">
        <f>"24"</f>
        <v>24</v>
      </c>
      <c r="H2433" s="5">
        <v>81.8</v>
      </c>
      <c r="I2433" s="3"/>
    </row>
    <row r="2434" customHeight="1" spans="1:9">
      <c r="A2434" s="3" t="str">
        <f t="shared" si="236"/>
        <v>0107</v>
      </c>
      <c r="B2434" s="3" t="s">
        <v>22</v>
      </c>
      <c r="C2434" s="3" t="str">
        <f>"张宏雨"</f>
        <v>张宏雨</v>
      </c>
      <c r="D2434" s="3" t="str">
        <f t="shared" si="237"/>
        <v>女</v>
      </c>
      <c r="E2434" s="3" t="str">
        <f>"2507018225"</f>
        <v>2507018225</v>
      </c>
      <c r="F2434" s="3" t="str">
        <f t="shared" si="234"/>
        <v>82</v>
      </c>
      <c r="G2434" s="4" t="str">
        <f>"25"</f>
        <v>25</v>
      </c>
      <c r="H2434" s="5">
        <v>0</v>
      </c>
      <c r="I2434" s="3" t="s">
        <v>11</v>
      </c>
    </row>
    <row r="2435" customHeight="1" spans="1:9">
      <c r="A2435" s="3" t="str">
        <f t="shared" si="236"/>
        <v>0107</v>
      </c>
      <c r="B2435" s="3" t="s">
        <v>22</v>
      </c>
      <c r="C2435" s="3" t="str">
        <f>"景梦婕"</f>
        <v>景梦婕</v>
      </c>
      <c r="D2435" s="3" t="str">
        <f t="shared" si="237"/>
        <v>女</v>
      </c>
      <c r="E2435" s="3" t="str">
        <f>"2507018226"</f>
        <v>2507018226</v>
      </c>
      <c r="F2435" s="3" t="str">
        <f t="shared" si="234"/>
        <v>82</v>
      </c>
      <c r="G2435" s="4" t="str">
        <f>"26"</f>
        <v>26</v>
      </c>
      <c r="H2435" s="5">
        <v>70.1</v>
      </c>
      <c r="I2435" s="3"/>
    </row>
    <row r="2436" customHeight="1" spans="1:9">
      <c r="A2436" s="3" t="str">
        <f t="shared" si="236"/>
        <v>0107</v>
      </c>
      <c r="B2436" s="3" t="s">
        <v>22</v>
      </c>
      <c r="C2436" s="3" t="str">
        <f>"邱瞳"</f>
        <v>邱瞳</v>
      </c>
      <c r="D2436" s="3" t="str">
        <f t="shared" si="237"/>
        <v>女</v>
      </c>
      <c r="E2436" s="3" t="str">
        <f>"2507018227"</f>
        <v>2507018227</v>
      </c>
      <c r="F2436" s="3" t="str">
        <f t="shared" si="234"/>
        <v>82</v>
      </c>
      <c r="G2436" s="4" t="str">
        <f>"27"</f>
        <v>27</v>
      </c>
      <c r="H2436" s="5">
        <v>78</v>
      </c>
      <c r="I2436" s="3"/>
    </row>
    <row r="2437" customHeight="1" spans="1:9">
      <c r="A2437" s="3" t="str">
        <f t="shared" si="236"/>
        <v>0107</v>
      </c>
      <c r="B2437" s="3" t="s">
        <v>22</v>
      </c>
      <c r="C2437" s="3" t="str">
        <f>"陈丽丽"</f>
        <v>陈丽丽</v>
      </c>
      <c r="D2437" s="3" t="str">
        <f t="shared" si="237"/>
        <v>女</v>
      </c>
      <c r="E2437" s="3" t="str">
        <f>"2507018228"</f>
        <v>2507018228</v>
      </c>
      <c r="F2437" s="3" t="str">
        <f t="shared" si="234"/>
        <v>82</v>
      </c>
      <c r="G2437" s="4" t="str">
        <f>"28"</f>
        <v>28</v>
      </c>
      <c r="H2437" s="5">
        <v>0</v>
      </c>
      <c r="I2437" s="3" t="s">
        <v>11</v>
      </c>
    </row>
    <row r="2438" customHeight="1" spans="1:9">
      <c r="A2438" s="3" t="str">
        <f t="shared" si="236"/>
        <v>0107</v>
      </c>
      <c r="B2438" s="3" t="s">
        <v>22</v>
      </c>
      <c r="C2438" s="3" t="str">
        <f>"周惠秋"</f>
        <v>周惠秋</v>
      </c>
      <c r="D2438" s="3" t="str">
        <f t="shared" si="237"/>
        <v>女</v>
      </c>
      <c r="E2438" s="3" t="str">
        <f>"2507018229"</f>
        <v>2507018229</v>
      </c>
      <c r="F2438" s="3" t="str">
        <f t="shared" si="234"/>
        <v>82</v>
      </c>
      <c r="G2438" s="4" t="str">
        <f>"29"</f>
        <v>29</v>
      </c>
      <c r="H2438" s="5">
        <v>73.9</v>
      </c>
      <c r="I2438" s="3"/>
    </row>
    <row r="2439" customHeight="1" spans="1:9">
      <c r="A2439" s="3" t="str">
        <f t="shared" si="236"/>
        <v>0107</v>
      </c>
      <c r="B2439" s="3" t="s">
        <v>22</v>
      </c>
      <c r="C2439" s="3" t="str">
        <f>"田晓彤"</f>
        <v>田晓彤</v>
      </c>
      <c r="D2439" s="3" t="str">
        <f t="shared" si="237"/>
        <v>女</v>
      </c>
      <c r="E2439" s="3" t="str">
        <f>"2507018230"</f>
        <v>2507018230</v>
      </c>
      <c r="F2439" s="3" t="str">
        <f t="shared" si="234"/>
        <v>82</v>
      </c>
      <c r="G2439" s="4" t="str">
        <f>"30"</f>
        <v>30</v>
      </c>
      <c r="H2439" s="5">
        <v>0</v>
      </c>
      <c r="I2439" s="3" t="s">
        <v>11</v>
      </c>
    </row>
    <row r="2440" customHeight="1" spans="1:9">
      <c r="A2440" s="3" t="str">
        <f t="shared" si="236"/>
        <v>0107</v>
      </c>
      <c r="B2440" s="3" t="s">
        <v>22</v>
      </c>
      <c r="C2440" s="3" t="str">
        <f>"李栋"</f>
        <v>李栋</v>
      </c>
      <c r="D2440" s="3" t="str">
        <f>"男"</f>
        <v>男</v>
      </c>
      <c r="E2440" s="3" t="str">
        <f>"2507018301"</f>
        <v>2507018301</v>
      </c>
      <c r="F2440" s="3" t="str">
        <f t="shared" ref="F2440:F2469" si="238">"83"</f>
        <v>83</v>
      </c>
      <c r="G2440" s="4" t="str">
        <f>"01"</f>
        <v>01</v>
      </c>
      <c r="H2440" s="5">
        <v>73.6</v>
      </c>
      <c r="I2440" s="3"/>
    </row>
    <row r="2441" customHeight="1" spans="1:9">
      <c r="A2441" s="3" t="str">
        <f t="shared" si="236"/>
        <v>0107</v>
      </c>
      <c r="B2441" s="3" t="s">
        <v>22</v>
      </c>
      <c r="C2441" s="3" t="str">
        <f>"王玉琴"</f>
        <v>王玉琴</v>
      </c>
      <c r="D2441" s="3" t="str">
        <f t="shared" ref="D2441:D2448" si="239">"女"</f>
        <v>女</v>
      </c>
      <c r="E2441" s="3" t="str">
        <f>"2507018302"</f>
        <v>2507018302</v>
      </c>
      <c r="F2441" s="3" t="str">
        <f t="shared" si="238"/>
        <v>83</v>
      </c>
      <c r="G2441" s="4" t="str">
        <f>"02"</f>
        <v>02</v>
      </c>
      <c r="H2441" s="5">
        <v>0</v>
      </c>
      <c r="I2441" s="3" t="s">
        <v>11</v>
      </c>
    </row>
    <row r="2442" customHeight="1" spans="1:9">
      <c r="A2442" s="3" t="str">
        <f t="shared" si="236"/>
        <v>0107</v>
      </c>
      <c r="B2442" s="3" t="s">
        <v>22</v>
      </c>
      <c r="C2442" s="3" t="str">
        <f>"戚瑞欣"</f>
        <v>戚瑞欣</v>
      </c>
      <c r="D2442" s="3" t="str">
        <f t="shared" si="239"/>
        <v>女</v>
      </c>
      <c r="E2442" s="3" t="str">
        <f>"2507018303"</f>
        <v>2507018303</v>
      </c>
      <c r="F2442" s="3" t="str">
        <f t="shared" si="238"/>
        <v>83</v>
      </c>
      <c r="G2442" s="4" t="str">
        <f>"03"</f>
        <v>03</v>
      </c>
      <c r="H2442" s="5">
        <v>59.9</v>
      </c>
      <c r="I2442" s="3"/>
    </row>
    <row r="2443" customHeight="1" spans="1:9">
      <c r="A2443" s="3" t="str">
        <f t="shared" si="236"/>
        <v>0107</v>
      </c>
      <c r="B2443" s="3" t="s">
        <v>22</v>
      </c>
      <c r="C2443" s="3" t="str">
        <f>"高嘉玉"</f>
        <v>高嘉玉</v>
      </c>
      <c r="D2443" s="3" t="str">
        <f t="shared" si="239"/>
        <v>女</v>
      </c>
      <c r="E2443" s="3" t="str">
        <f>"2507018304"</f>
        <v>2507018304</v>
      </c>
      <c r="F2443" s="3" t="str">
        <f t="shared" si="238"/>
        <v>83</v>
      </c>
      <c r="G2443" s="4" t="str">
        <f>"04"</f>
        <v>04</v>
      </c>
      <c r="H2443" s="5">
        <v>0</v>
      </c>
      <c r="I2443" s="3" t="s">
        <v>11</v>
      </c>
    </row>
    <row r="2444" customHeight="1" spans="1:9">
      <c r="A2444" s="3" t="str">
        <f t="shared" si="236"/>
        <v>0107</v>
      </c>
      <c r="B2444" s="3" t="s">
        <v>22</v>
      </c>
      <c r="C2444" s="3" t="str">
        <f>"徐秋月"</f>
        <v>徐秋月</v>
      </c>
      <c r="D2444" s="3" t="str">
        <f t="shared" si="239"/>
        <v>女</v>
      </c>
      <c r="E2444" s="3" t="str">
        <f>"2507018305"</f>
        <v>2507018305</v>
      </c>
      <c r="F2444" s="3" t="str">
        <f t="shared" si="238"/>
        <v>83</v>
      </c>
      <c r="G2444" s="4" t="str">
        <f>"05"</f>
        <v>05</v>
      </c>
      <c r="H2444" s="5">
        <v>90</v>
      </c>
      <c r="I2444" s="3"/>
    </row>
    <row r="2445" customHeight="1" spans="1:9">
      <c r="A2445" s="3" t="str">
        <f t="shared" si="236"/>
        <v>0107</v>
      </c>
      <c r="B2445" s="3" t="s">
        <v>22</v>
      </c>
      <c r="C2445" s="3" t="str">
        <f>"刘文静"</f>
        <v>刘文静</v>
      </c>
      <c r="D2445" s="3" t="str">
        <f t="shared" si="239"/>
        <v>女</v>
      </c>
      <c r="E2445" s="3" t="str">
        <f>"2507018306"</f>
        <v>2507018306</v>
      </c>
      <c r="F2445" s="3" t="str">
        <f t="shared" si="238"/>
        <v>83</v>
      </c>
      <c r="G2445" s="4" t="str">
        <f>"06"</f>
        <v>06</v>
      </c>
      <c r="H2445" s="5">
        <v>73.8</v>
      </c>
      <c r="I2445" s="3"/>
    </row>
    <row r="2446" customHeight="1" spans="1:9">
      <c r="A2446" s="3" t="str">
        <f t="shared" si="236"/>
        <v>0107</v>
      </c>
      <c r="B2446" s="3" t="s">
        <v>22</v>
      </c>
      <c r="C2446" s="3" t="str">
        <f>"胡慕清"</f>
        <v>胡慕清</v>
      </c>
      <c r="D2446" s="3" t="str">
        <f t="shared" si="239"/>
        <v>女</v>
      </c>
      <c r="E2446" s="3" t="str">
        <f>"2507018307"</f>
        <v>2507018307</v>
      </c>
      <c r="F2446" s="3" t="str">
        <f t="shared" si="238"/>
        <v>83</v>
      </c>
      <c r="G2446" s="4" t="str">
        <f>"07"</f>
        <v>07</v>
      </c>
      <c r="H2446" s="5">
        <v>0</v>
      </c>
      <c r="I2446" s="3" t="s">
        <v>11</v>
      </c>
    </row>
    <row r="2447" customHeight="1" spans="1:9">
      <c r="A2447" s="3" t="str">
        <f t="shared" si="236"/>
        <v>0107</v>
      </c>
      <c r="B2447" s="3" t="s">
        <v>22</v>
      </c>
      <c r="C2447" s="3" t="str">
        <f>"杨瑶"</f>
        <v>杨瑶</v>
      </c>
      <c r="D2447" s="3" t="str">
        <f t="shared" si="239"/>
        <v>女</v>
      </c>
      <c r="E2447" s="3" t="str">
        <f>"2507018308"</f>
        <v>2507018308</v>
      </c>
      <c r="F2447" s="3" t="str">
        <f t="shared" si="238"/>
        <v>83</v>
      </c>
      <c r="G2447" s="4" t="str">
        <f>"08"</f>
        <v>08</v>
      </c>
      <c r="H2447" s="5">
        <v>78.7</v>
      </c>
      <c r="I2447" s="3"/>
    </row>
    <row r="2448" customHeight="1" spans="1:9">
      <c r="A2448" s="3" t="str">
        <f t="shared" si="236"/>
        <v>0107</v>
      </c>
      <c r="B2448" s="3" t="s">
        <v>22</v>
      </c>
      <c r="C2448" s="3" t="str">
        <f>"王品"</f>
        <v>王品</v>
      </c>
      <c r="D2448" s="3" t="str">
        <f t="shared" si="239"/>
        <v>女</v>
      </c>
      <c r="E2448" s="3" t="str">
        <f>"2507018309"</f>
        <v>2507018309</v>
      </c>
      <c r="F2448" s="3" t="str">
        <f t="shared" si="238"/>
        <v>83</v>
      </c>
      <c r="G2448" s="4" t="str">
        <f>"09"</f>
        <v>09</v>
      </c>
      <c r="H2448" s="5">
        <v>0</v>
      </c>
      <c r="I2448" s="3" t="s">
        <v>11</v>
      </c>
    </row>
    <row r="2449" customHeight="1" spans="1:9">
      <c r="A2449" s="3" t="str">
        <f t="shared" si="236"/>
        <v>0107</v>
      </c>
      <c r="B2449" s="3" t="s">
        <v>22</v>
      </c>
      <c r="C2449" s="3" t="str">
        <f>"鞠承龙"</f>
        <v>鞠承龙</v>
      </c>
      <c r="D2449" s="3" t="str">
        <f>"男"</f>
        <v>男</v>
      </c>
      <c r="E2449" s="3" t="str">
        <f>"2507018310"</f>
        <v>2507018310</v>
      </c>
      <c r="F2449" s="3" t="str">
        <f t="shared" si="238"/>
        <v>83</v>
      </c>
      <c r="G2449" s="4" t="str">
        <f>"10"</f>
        <v>10</v>
      </c>
      <c r="H2449" s="5">
        <v>59.6</v>
      </c>
      <c r="I2449" s="3"/>
    </row>
    <row r="2450" customHeight="1" spans="1:9">
      <c r="A2450" s="3" t="str">
        <f t="shared" si="236"/>
        <v>0107</v>
      </c>
      <c r="B2450" s="3" t="s">
        <v>22</v>
      </c>
      <c r="C2450" s="3" t="str">
        <f>"魏娇娇"</f>
        <v>魏娇娇</v>
      </c>
      <c r="D2450" s="3" t="str">
        <f t="shared" ref="D2450:D2464" si="240">"女"</f>
        <v>女</v>
      </c>
      <c r="E2450" s="3" t="str">
        <f>"2507018311"</f>
        <v>2507018311</v>
      </c>
      <c r="F2450" s="3" t="str">
        <f t="shared" si="238"/>
        <v>83</v>
      </c>
      <c r="G2450" s="4" t="str">
        <f>"11"</f>
        <v>11</v>
      </c>
      <c r="H2450" s="5">
        <v>79.6</v>
      </c>
      <c r="I2450" s="3"/>
    </row>
    <row r="2451" customHeight="1" spans="1:9">
      <c r="A2451" s="3" t="str">
        <f t="shared" si="236"/>
        <v>0107</v>
      </c>
      <c r="B2451" s="3" t="s">
        <v>22</v>
      </c>
      <c r="C2451" s="3" t="str">
        <f>"依梓璇"</f>
        <v>依梓璇</v>
      </c>
      <c r="D2451" s="3" t="str">
        <f t="shared" si="240"/>
        <v>女</v>
      </c>
      <c r="E2451" s="3" t="str">
        <f>"2507018312"</f>
        <v>2507018312</v>
      </c>
      <c r="F2451" s="3" t="str">
        <f t="shared" si="238"/>
        <v>83</v>
      </c>
      <c r="G2451" s="4" t="str">
        <f>"12"</f>
        <v>12</v>
      </c>
      <c r="H2451" s="5">
        <v>0</v>
      </c>
      <c r="I2451" s="3" t="s">
        <v>11</v>
      </c>
    </row>
    <row r="2452" customHeight="1" spans="1:9">
      <c r="A2452" s="3" t="str">
        <f t="shared" si="236"/>
        <v>0107</v>
      </c>
      <c r="B2452" s="3" t="s">
        <v>22</v>
      </c>
      <c r="C2452" s="3" t="str">
        <f>"曹露文"</f>
        <v>曹露文</v>
      </c>
      <c r="D2452" s="3" t="str">
        <f t="shared" si="240"/>
        <v>女</v>
      </c>
      <c r="E2452" s="3" t="str">
        <f>"2507018313"</f>
        <v>2507018313</v>
      </c>
      <c r="F2452" s="3" t="str">
        <f t="shared" si="238"/>
        <v>83</v>
      </c>
      <c r="G2452" s="4" t="str">
        <f>"13"</f>
        <v>13</v>
      </c>
      <c r="H2452" s="5">
        <v>0</v>
      </c>
      <c r="I2452" s="3" t="s">
        <v>11</v>
      </c>
    </row>
    <row r="2453" customHeight="1" spans="1:9">
      <c r="A2453" s="3" t="str">
        <f t="shared" si="236"/>
        <v>0107</v>
      </c>
      <c r="B2453" s="3" t="s">
        <v>22</v>
      </c>
      <c r="C2453" s="3" t="str">
        <f>"朱冰彦"</f>
        <v>朱冰彦</v>
      </c>
      <c r="D2453" s="3" t="str">
        <f t="shared" si="240"/>
        <v>女</v>
      </c>
      <c r="E2453" s="3" t="str">
        <f>"2507018314"</f>
        <v>2507018314</v>
      </c>
      <c r="F2453" s="3" t="str">
        <f t="shared" si="238"/>
        <v>83</v>
      </c>
      <c r="G2453" s="4" t="str">
        <f>"14"</f>
        <v>14</v>
      </c>
      <c r="H2453" s="5">
        <v>0</v>
      </c>
      <c r="I2453" s="3" t="s">
        <v>11</v>
      </c>
    </row>
    <row r="2454" customHeight="1" spans="1:9">
      <c r="A2454" s="3" t="str">
        <f t="shared" si="236"/>
        <v>0107</v>
      </c>
      <c r="B2454" s="3" t="s">
        <v>22</v>
      </c>
      <c r="C2454" s="3" t="str">
        <f>"刘家君"</f>
        <v>刘家君</v>
      </c>
      <c r="D2454" s="3" t="str">
        <f t="shared" si="240"/>
        <v>女</v>
      </c>
      <c r="E2454" s="3" t="str">
        <f>"2507018315"</f>
        <v>2507018315</v>
      </c>
      <c r="F2454" s="3" t="str">
        <f t="shared" si="238"/>
        <v>83</v>
      </c>
      <c r="G2454" s="4" t="str">
        <f>"15"</f>
        <v>15</v>
      </c>
      <c r="H2454" s="5">
        <v>69.2</v>
      </c>
      <c r="I2454" s="3"/>
    </row>
    <row r="2455" customHeight="1" spans="1:9">
      <c r="A2455" s="3" t="str">
        <f t="shared" si="236"/>
        <v>0107</v>
      </c>
      <c r="B2455" s="3" t="s">
        <v>22</v>
      </c>
      <c r="C2455" s="3" t="str">
        <f>"黄雅梅"</f>
        <v>黄雅梅</v>
      </c>
      <c r="D2455" s="3" t="str">
        <f t="shared" si="240"/>
        <v>女</v>
      </c>
      <c r="E2455" s="3" t="str">
        <f>"2507018316"</f>
        <v>2507018316</v>
      </c>
      <c r="F2455" s="3" t="str">
        <f t="shared" si="238"/>
        <v>83</v>
      </c>
      <c r="G2455" s="4" t="str">
        <f>"16"</f>
        <v>16</v>
      </c>
      <c r="H2455" s="5">
        <v>0</v>
      </c>
      <c r="I2455" s="3" t="s">
        <v>11</v>
      </c>
    </row>
    <row r="2456" customHeight="1" spans="1:9">
      <c r="A2456" s="3" t="str">
        <f t="shared" si="236"/>
        <v>0107</v>
      </c>
      <c r="B2456" s="3" t="s">
        <v>22</v>
      </c>
      <c r="C2456" s="3" t="str">
        <f>"关心雨"</f>
        <v>关心雨</v>
      </c>
      <c r="D2456" s="3" t="str">
        <f t="shared" si="240"/>
        <v>女</v>
      </c>
      <c r="E2456" s="3" t="str">
        <f>"2507018317"</f>
        <v>2507018317</v>
      </c>
      <c r="F2456" s="3" t="str">
        <f t="shared" si="238"/>
        <v>83</v>
      </c>
      <c r="G2456" s="4" t="str">
        <f>"17"</f>
        <v>17</v>
      </c>
      <c r="H2456" s="5">
        <v>75</v>
      </c>
      <c r="I2456" s="3"/>
    </row>
    <row r="2457" customHeight="1" spans="1:9">
      <c r="A2457" s="3" t="str">
        <f t="shared" si="236"/>
        <v>0107</v>
      </c>
      <c r="B2457" s="3" t="s">
        <v>22</v>
      </c>
      <c r="C2457" s="3" t="str">
        <f>"桑爱丽"</f>
        <v>桑爱丽</v>
      </c>
      <c r="D2457" s="3" t="str">
        <f t="shared" si="240"/>
        <v>女</v>
      </c>
      <c r="E2457" s="3" t="str">
        <f>"2507018318"</f>
        <v>2507018318</v>
      </c>
      <c r="F2457" s="3" t="str">
        <f t="shared" si="238"/>
        <v>83</v>
      </c>
      <c r="G2457" s="4" t="str">
        <f>"18"</f>
        <v>18</v>
      </c>
      <c r="H2457" s="5">
        <v>0</v>
      </c>
      <c r="I2457" s="3" t="s">
        <v>11</v>
      </c>
    </row>
    <row r="2458" customHeight="1" spans="1:9">
      <c r="A2458" s="3" t="str">
        <f t="shared" si="236"/>
        <v>0107</v>
      </c>
      <c r="B2458" s="3" t="s">
        <v>22</v>
      </c>
      <c r="C2458" s="3" t="str">
        <f>"李俊"</f>
        <v>李俊</v>
      </c>
      <c r="D2458" s="3" t="str">
        <f t="shared" si="240"/>
        <v>女</v>
      </c>
      <c r="E2458" s="3" t="str">
        <f>"2507018319"</f>
        <v>2507018319</v>
      </c>
      <c r="F2458" s="3" t="str">
        <f t="shared" si="238"/>
        <v>83</v>
      </c>
      <c r="G2458" s="4" t="str">
        <f>"19"</f>
        <v>19</v>
      </c>
      <c r="H2458" s="5">
        <v>80.3</v>
      </c>
      <c r="I2458" s="3"/>
    </row>
    <row r="2459" customHeight="1" spans="1:9">
      <c r="A2459" s="3" t="str">
        <f t="shared" si="236"/>
        <v>0107</v>
      </c>
      <c r="B2459" s="3" t="s">
        <v>22</v>
      </c>
      <c r="C2459" s="3" t="str">
        <f>"丁莹莹"</f>
        <v>丁莹莹</v>
      </c>
      <c r="D2459" s="3" t="str">
        <f t="shared" si="240"/>
        <v>女</v>
      </c>
      <c r="E2459" s="3" t="str">
        <f>"2507018320"</f>
        <v>2507018320</v>
      </c>
      <c r="F2459" s="3" t="str">
        <f t="shared" si="238"/>
        <v>83</v>
      </c>
      <c r="G2459" s="4" t="str">
        <f>"20"</f>
        <v>20</v>
      </c>
      <c r="H2459" s="5">
        <v>49.8</v>
      </c>
      <c r="I2459" s="3"/>
    </row>
    <row r="2460" customHeight="1" spans="1:9">
      <c r="A2460" s="3" t="str">
        <f t="shared" si="236"/>
        <v>0107</v>
      </c>
      <c r="B2460" s="3" t="s">
        <v>22</v>
      </c>
      <c r="C2460" s="3" t="str">
        <f>"张家佳"</f>
        <v>张家佳</v>
      </c>
      <c r="D2460" s="3" t="str">
        <f t="shared" si="240"/>
        <v>女</v>
      </c>
      <c r="E2460" s="3" t="str">
        <f>"2507018321"</f>
        <v>2507018321</v>
      </c>
      <c r="F2460" s="3" t="str">
        <f t="shared" si="238"/>
        <v>83</v>
      </c>
      <c r="G2460" s="4" t="str">
        <f>"21"</f>
        <v>21</v>
      </c>
      <c r="H2460" s="5">
        <v>54.3</v>
      </c>
      <c r="I2460" s="3"/>
    </row>
    <row r="2461" customHeight="1" spans="1:9">
      <c r="A2461" s="3" t="str">
        <f t="shared" si="236"/>
        <v>0107</v>
      </c>
      <c r="B2461" s="3" t="s">
        <v>22</v>
      </c>
      <c r="C2461" s="3" t="str">
        <f>"张锐捷"</f>
        <v>张锐捷</v>
      </c>
      <c r="D2461" s="3" t="str">
        <f t="shared" si="240"/>
        <v>女</v>
      </c>
      <c r="E2461" s="3" t="str">
        <f>"2507018322"</f>
        <v>2507018322</v>
      </c>
      <c r="F2461" s="3" t="str">
        <f t="shared" si="238"/>
        <v>83</v>
      </c>
      <c r="G2461" s="4" t="str">
        <f>"22"</f>
        <v>22</v>
      </c>
      <c r="H2461" s="5">
        <v>0</v>
      </c>
      <c r="I2461" s="3" t="s">
        <v>11</v>
      </c>
    </row>
    <row r="2462" customHeight="1" spans="1:9">
      <c r="A2462" s="3" t="str">
        <f t="shared" si="236"/>
        <v>0107</v>
      </c>
      <c r="B2462" s="3" t="s">
        <v>22</v>
      </c>
      <c r="C2462" s="3" t="str">
        <f>"谢婉鑫"</f>
        <v>谢婉鑫</v>
      </c>
      <c r="D2462" s="3" t="str">
        <f t="shared" si="240"/>
        <v>女</v>
      </c>
      <c r="E2462" s="3" t="str">
        <f>"2507018323"</f>
        <v>2507018323</v>
      </c>
      <c r="F2462" s="3" t="str">
        <f t="shared" si="238"/>
        <v>83</v>
      </c>
      <c r="G2462" s="4" t="str">
        <f>"23"</f>
        <v>23</v>
      </c>
      <c r="H2462" s="5">
        <v>0</v>
      </c>
      <c r="I2462" s="3" t="s">
        <v>11</v>
      </c>
    </row>
    <row r="2463" customHeight="1" spans="1:9">
      <c r="A2463" s="3" t="str">
        <f t="shared" si="236"/>
        <v>0107</v>
      </c>
      <c r="B2463" s="3" t="s">
        <v>22</v>
      </c>
      <c r="C2463" s="3" t="str">
        <f>"张明珠"</f>
        <v>张明珠</v>
      </c>
      <c r="D2463" s="3" t="str">
        <f t="shared" si="240"/>
        <v>女</v>
      </c>
      <c r="E2463" s="3" t="str">
        <f>"2507018324"</f>
        <v>2507018324</v>
      </c>
      <c r="F2463" s="3" t="str">
        <f t="shared" si="238"/>
        <v>83</v>
      </c>
      <c r="G2463" s="4" t="str">
        <f>"24"</f>
        <v>24</v>
      </c>
      <c r="H2463" s="5">
        <v>79.9</v>
      </c>
      <c r="I2463" s="3"/>
    </row>
    <row r="2464" customHeight="1" spans="1:9">
      <c r="A2464" s="3" t="str">
        <f t="shared" si="236"/>
        <v>0107</v>
      </c>
      <c r="B2464" s="3" t="s">
        <v>22</v>
      </c>
      <c r="C2464" s="3" t="str">
        <f>"王双双"</f>
        <v>王双双</v>
      </c>
      <c r="D2464" s="3" t="str">
        <f t="shared" si="240"/>
        <v>女</v>
      </c>
      <c r="E2464" s="3" t="str">
        <f>"2507018325"</f>
        <v>2507018325</v>
      </c>
      <c r="F2464" s="3" t="str">
        <f t="shared" si="238"/>
        <v>83</v>
      </c>
      <c r="G2464" s="4" t="str">
        <f>"25"</f>
        <v>25</v>
      </c>
      <c r="H2464" s="5">
        <v>0</v>
      </c>
      <c r="I2464" s="3" t="s">
        <v>11</v>
      </c>
    </row>
    <row r="2465" customHeight="1" spans="1:9">
      <c r="A2465" s="3" t="str">
        <f t="shared" si="236"/>
        <v>0107</v>
      </c>
      <c r="B2465" s="3" t="s">
        <v>22</v>
      </c>
      <c r="C2465" s="3" t="str">
        <f>"冯上贺"</f>
        <v>冯上贺</v>
      </c>
      <c r="D2465" s="3" t="str">
        <f>"男"</f>
        <v>男</v>
      </c>
      <c r="E2465" s="3" t="str">
        <f>"2507018326"</f>
        <v>2507018326</v>
      </c>
      <c r="F2465" s="3" t="str">
        <f t="shared" si="238"/>
        <v>83</v>
      </c>
      <c r="G2465" s="4" t="str">
        <f>"26"</f>
        <v>26</v>
      </c>
      <c r="H2465" s="5">
        <v>81.4</v>
      </c>
      <c r="I2465" s="3"/>
    </row>
    <row r="2466" customHeight="1" spans="1:9">
      <c r="A2466" s="3" t="str">
        <f t="shared" si="236"/>
        <v>0107</v>
      </c>
      <c r="B2466" s="3" t="s">
        <v>22</v>
      </c>
      <c r="C2466" s="3" t="str">
        <f>"  周璇"</f>
        <v>  周璇</v>
      </c>
      <c r="D2466" s="3" t="str">
        <f>"女"</f>
        <v>女</v>
      </c>
      <c r="E2466" s="3" t="str">
        <f>"2507018327"</f>
        <v>2507018327</v>
      </c>
      <c r="F2466" s="3" t="str">
        <f t="shared" si="238"/>
        <v>83</v>
      </c>
      <c r="G2466" s="4" t="str">
        <f>"27"</f>
        <v>27</v>
      </c>
      <c r="H2466" s="5">
        <v>81.3</v>
      </c>
      <c r="I2466" s="3"/>
    </row>
    <row r="2467" customHeight="1" spans="1:9">
      <c r="A2467" s="3" t="str">
        <f t="shared" si="236"/>
        <v>0107</v>
      </c>
      <c r="B2467" s="3" t="s">
        <v>22</v>
      </c>
      <c r="C2467" s="3" t="str">
        <f>"程子煜"</f>
        <v>程子煜</v>
      </c>
      <c r="D2467" s="3" t="str">
        <f>"女"</f>
        <v>女</v>
      </c>
      <c r="E2467" s="3" t="str">
        <f>"2507018328"</f>
        <v>2507018328</v>
      </c>
      <c r="F2467" s="3" t="str">
        <f t="shared" si="238"/>
        <v>83</v>
      </c>
      <c r="G2467" s="4" t="str">
        <f>"28"</f>
        <v>28</v>
      </c>
      <c r="H2467" s="5">
        <v>69</v>
      </c>
      <c r="I2467" s="3"/>
    </row>
    <row r="2468" customHeight="1" spans="1:9">
      <c r="A2468" s="3" t="str">
        <f t="shared" si="236"/>
        <v>0107</v>
      </c>
      <c r="B2468" s="3" t="s">
        <v>22</v>
      </c>
      <c r="C2468" s="3" t="str">
        <f>"陈雅楠"</f>
        <v>陈雅楠</v>
      </c>
      <c r="D2468" s="3" t="str">
        <f>"女"</f>
        <v>女</v>
      </c>
      <c r="E2468" s="3" t="str">
        <f>"2507018329"</f>
        <v>2507018329</v>
      </c>
      <c r="F2468" s="3" t="str">
        <f t="shared" si="238"/>
        <v>83</v>
      </c>
      <c r="G2468" s="4" t="str">
        <f>"29"</f>
        <v>29</v>
      </c>
      <c r="H2468" s="5">
        <v>0</v>
      </c>
      <c r="I2468" s="3" t="s">
        <v>11</v>
      </c>
    </row>
    <row r="2469" customHeight="1" spans="1:9">
      <c r="A2469" s="3" t="str">
        <f t="shared" si="236"/>
        <v>0107</v>
      </c>
      <c r="B2469" s="3" t="s">
        <v>22</v>
      </c>
      <c r="C2469" s="3" t="str">
        <f>"岳笑笑"</f>
        <v>岳笑笑</v>
      </c>
      <c r="D2469" s="3" t="str">
        <f>"女"</f>
        <v>女</v>
      </c>
      <c r="E2469" s="3" t="str">
        <f>"2507018330"</f>
        <v>2507018330</v>
      </c>
      <c r="F2469" s="3" t="str">
        <f t="shared" si="238"/>
        <v>83</v>
      </c>
      <c r="G2469" s="4" t="str">
        <f>"30"</f>
        <v>30</v>
      </c>
      <c r="H2469" s="5">
        <v>0</v>
      </c>
      <c r="I2469" s="3" t="s">
        <v>11</v>
      </c>
    </row>
    <row r="2470" customHeight="1" spans="1:9">
      <c r="A2470" s="3" t="str">
        <f t="shared" si="236"/>
        <v>0107</v>
      </c>
      <c r="B2470" s="3" t="s">
        <v>22</v>
      </c>
      <c r="C2470" s="3" t="str">
        <f>"蒋贤柯"</f>
        <v>蒋贤柯</v>
      </c>
      <c r="D2470" s="3" t="str">
        <f>"男"</f>
        <v>男</v>
      </c>
      <c r="E2470" s="3" t="str">
        <f>"2507018401"</f>
        <v>2507018401</v>
      </c>
      <c r="F2470" s="3" t="str">
        <f t="shared" ref="F2470:F2499" si="241">"84"</f>
        <v>84</v>
      </c>
      <c r="G2470" s="4" t="str">
        <f>"01"</f>
        <v>01</v>
      </c>
      <c r="H2470" s="5">
        <v>0</v>
      </c>
      <c r="I2470" s="3" t="s">
        <v>11</v>
      </c>
    </row>
    <row r="2471" customHeight="1" spans="1:9">
      <c r="A2471" s="3" t="str">
        <f t="shared" si="236"/>
        <v>0107</v>
      </c>
      <c r="B2471" s="3" t="s">
        <v>22</v>
      </c>
      <c r="C2471" s="3" t="str">
        <f>"徐冰洁"</f>
        <v>徐冰洁</v>
      </c>
      <c r="D2471" s="3" t="str">
        <f>"女"</f>
        <v>女</v>
      </c>
      <c r="E2471" s="3" t="str">
        <f>"2507018402"</f>
        <v>2507018402</v>
      </c>
      <c r="F2471" s="3" t="str">
        <f t="shared" si="241"/>
        <v>84</v>
      </c>
      <c r="G2471" s="4" t="str">
        <f>"02"</f>
        <v>02</v>
      </c>
      <c r="H2471" s="5">
        <v>63.2</v>
      </c>
      <c r="I2471" s="3"/>
    </row>
    <row r="2472" customHeight="1" spans="1:9">
      <c r="A2472" s="3" t="str">
        <f t="shared" si="236"/>
        <v>0107</v>
      </c>
      <c r="B2472" s="3" t="s">
        <v>22</v>
      </c>
      <c r="C2472" s="3" t="str">
        <f>"赵明珠"</f>
        <v>赵明珠</v>
      </c>
      <c r="D2472" s="3" t="str">
        <f>"女"</f>
        <v>女</v>
      </c>
      <c r="E2472" s="3" t="str">
        <f>"2507018403"</f>
        <v>2507018403</v>
      </c>
      <c r="F2472" s="3" t="str">
        <f t="shared" si="241"/>
        <v>84</v>
      </c>
      <c r="G2472" s="4" t="str">
        <f>"03"</f>
        <v>03</v>
      </c>
      <c r="H2472" s="5">
        <v>78.7</v>
      </c>
      <c r="I2472" s="3"/>
    </row>
    <row r="2473" customHeight="1" spans="1:9">
      <c r="A2473" s="3" t="str">
        <f t="shared" si="236"/>
        <v>0107</v>
      </c>
      <c r="B2473" s="3" t="s">
        <v>22</v>
      </c>
      <c r="C2473" s="3" t="str">
        <f>"杨雨婷"</f>
        <v>杨雨婷</v>
      </c>
      <c r="D2473" s="3" t="str">
        <f>"女"</f>
        <v>女</v>
      </c>
      <c r="E2473" s="3" t="str">
        <f>"2507018404"</f>
        <v>2507018404</v>
      </c>
      <c r="F2473" s="3" t="str">
        <f t="shared" si="241"/>
        <v>84</v>
      </c>
      <c r="G2473" s="4" t="str">
        <f>"04"</f>
        <v>04</v>
      </c>
      <c r="H2473" s="5">
        <v>65.7</v>
      </c>
      <c r="I2473" s="3"/>
    </row>
    <row r="2474" customHeight="1" spans="1:9">
      <c r="A2474" s="3" t="str">
        <f t="shared" si="236"/>
        <v>0107</v>
      </c>
      <c r="B2474" s="3" t="s">
        <v>22</v>
      </c>
      <c r="C2474" s="3" t="str">
        <f>"王双燕"</f>
        <v>王双燕</v>
      </c>
      <c r="D2474" s="3" t="str">
        <f>"女"</f>
        <v>女</v>
      </c>
      <c r="E2474" s="3" t="str">
        <f>"2507018405"</f>
        <v>2507018405</v>
      </c>
      <c r="F2474" s="3" t="str">
        <f t="shared" si="241"/>
        <v>84</v>
      </c>
      <c r="G2474" s="4" t="str">
        <f>"05"</f>
        <v>05</v>
      </c>
      <c r="H2474" s="5">
        <v>87.4</v>
      </c>
      <c r="I2474" s="3"/>
    </row>
    <row r="2475" customHeight="1" spans="1:9">
      <c r="A2475" s="3" t="str">
        <f t="shared" si="236"/>
        <v>0107</v>
      </c>
      <c r="B2475" s="3" t="s">
        <v>22</v>
      </c>
      <c r="C2475" s="3" t="str">
        <f>"张厚腾"</f>
        <v>张厚腾</v>
      </c>
      <c r="D2475" s="3" t="str">
        <f>"男"</f>
        <v>男</v>
      </c>
      <c r="E2475" s="3" t="str">
        <f>"2507018406"</f>
        <v>2507018406</v>
      </c>
      <c r="F2475" s="3" t="str">
        <f t="shared" si="241"/>
        <v>84</v>
      </c>
      <c r="G2475" s="4" t="str">
        <f>"06"</f>
        <v>06</v>
      </c>
      <c r="H2475" s="5">
        <v>55.3</v>
      </c>
      <c r="I2475" s="3"/>
    </row>
    <row r="2476" customHeight="1" spans="1:9">
      <c r="A2476" s="3" t="str">
        <f t="shared" si="236"/>
        <v>0107</v>
      </c>
      <c r="B2476" s="3" t="s">
        <v>22</v>
      </c>
      <c r="C2476" s="3" t="str">
        <f>"何叶子"</f>
        <v>何叶子</v>
      </c>
      <c r="D2476" s="3" t="str">
        <f>"女"</f>
        <v>女</v>
      </c>
      <c r="E2476" s="3" t="str">
        <f>"2507018407"</f>
        <v>2507018407</v>
      </c>
      <c r="F2476" s="3" t="str">
        <f t="shared" si="241"/>
        <v>84</v>
      </c>
      <c r="G2476" s="4" t="str">
        <f>"07"</f>
        <v>07</v>
      </c>
      <c r="H2476" s="5">
        <v>0</v>
      </c>
      <c r="I2476" s="3" t="s">
        <v>11</v>
      </c>
    </row>
    <row r="2477" customHeight="1" spans="1:9">
      <c r="A2477" s="3" t="str">
        <f t="shared" si="236"/>
        <v>0107</v>
      </c>
      <c r="B2477" s="3" t="s">
        <v>22</v>
      </c>
      <c r="C2477" s="3" t="str">
        <f>"崔博文"</f>
        <v>崔博文</v>
      </c>
      <c r="D2477" s="3" t="str">
        <f>"女"</f>
        <v>女</v>
      </c>
      <c r="E2477" s="3" t="str">
        <f>"2507018408"</f>
        <v>2507018408</v>
      </c>
      <c r="F2477" s="3" t="str">
        <f t="shared" si="241"/>
        <v>84</v>
      </c>
      <c r="G2477" s="4" t="str">
        <f>"08"</f>
        <v>08</v>
      </c>
      <c r="H2477" s="5">
        <v>0</v>
      </c>
      <c r="I2477" s="3" t="s">
        <v>11</v>
      </c>
    </row>
    <row r="2478" customHeight="1" spans="1:9">
      <c r="A2478" s="3" t="str">
        <f t="shared" si="236"/>
        <v>0107</v>
      </c>
      <c r="B2478" s="3" t="s">
        <v>22</v>
      </c>
      <c r="C2478" s="3" t="str">
        <f>"徐睿源"</f>
        <v>徐睿源</v>
      </c>
      <c r="D2478" s="3" t="str">
        <f>"男"</f>
        <v>男</v>
      </c>
      <c r="E2478" s="3" t="str">
        <f>"2507018409"</f>
        <v>2507018409</v>
      </c>
      <c r="F2478" s="3" t="str">
        <f t="shared" si="241"/>
        <v>84</v>
      </c>
      <c r="G2478" s="4" t="str">
        <f>"09"</f>
        <v>09</v>
      </c>
      <c r="H2478" s="5">
        <v>0</v>
      </c>
      <c r="I2478" s="3" t="s">
        <v>11</v>
      </c>
    </row>
    <row r="2479" customHeight="1" spans="1:9">
      <c r="A2479" s="3" t="str">
        <f t="shared" si="236"/>
        <v>0107</v>
      </c>
      <c r="B2479" s="3" t="s">
        <v>22</v>
      </c>
      <c r="C2479" s="3" t="str">
        <f>"常笑笑"</f>
        <v>常笑笑</v>
      </c>
      <c r="D2479" s="3" t="str">
        <f t="shared" ref="D2479:D2485" si="242">"女"</f>
        <v>女</v>
      </c>
      <c r="E2479" s="3" t="str">
        <f>"2507018410"</f>
        <v>2507018410</v>
      </c>
      <c r="F2479" s="3" t="str">
        <f t="shared" si="241"/>
        <v>84</v>
      </c>
      <c r="G2479" s="4" t="str">
        <f>"10"</f>
        <v>10</v>
      </c>
      <c r="H2479" s="5">
        <v>80.7</v>
      </c>
      <c r="I2479" s="3"/>
    </row>
    <row r="2480" customHeight="1" spans="1:9">
      <c r="A2480" s="3" t="str">
        <f t="shared" si="236"/>
        <v>0107</v>
      </c>
      <c r="B2480" s="3" t="s">
        <v>22</v>
      </c>
      <c r="C2480" s="3" t="str">
        <f>"周丛"</f>
        <v>周丛</v>
      </c>
      <c r="D2480" s="3" t="str">
        <f t="shared" si="242"/>
        <v>女</v>
      </c>
      <c r="E2480" s="3" t="str">
        <f>"2507018411"</f>
        <v>2507018411</v>
      </c>
      <c r="F2480" s="3" t="str">
        <f t="shared" si="241"/>
        <v>84</v>
      </c>
      <c r="G2480" s="4" t="str">
        <f>"11"</f>
        <v>11</v>
      </c>
      <c r="H2480" s="5">
        <v>77.8</v>
      </c>
      <c r="I2480" s="3"/>
    </row>
    <row r="2481" customHeight="1" spans="1:9">
      <c r="A2481" s="3" t="str">
        <f t="shared" si="236"/>
        <v>0107</v>
      </c>
      <c r="B2481" s="3" t="s">
        <v>22</v>
      </c>
      <c r="C2481" s="3" t="str">
        <f>"朱叶青青"</f>
        <v>朱叶青青</v>
      </c>
      <c r="D2481" s="3" t="str">
        <f t="shared" si="242"/>
        <v>女</v>
      </c>
      <c r="E2481" s="3" t="str">
        <f>"2507018412"</f>
        <v>2507018412</v>
      </c>
      <c r="F2481" s="3" t="str">
        <f t="shared" si="241"/>
        <v>84</v>
      </c>
      <c r="G2481" s="4" t="str">
        <f>"12"</f>
        <v>12</v>
      </c>
      <c r="H2481" s="5">
        <v>84.3</v>
      </c>
      <c r="I2481" s="3"/>
    </row>
    <row r="2482" customHeight="1" spans="1:9">
      <c r="A2482" s="3" t="str">
        <f t="shared" si="236"/>
        <v>0107</v>
      </c>
      <c r="B2482" s="3" t="s">
        <v>22</v>
      </c>
      <c r="C2482" s="3" t="str">
        <f>"张恒"</f>
        <v>张恒</v>
      </c>
      <c r="D2482" s="3" t="str">
        <f t="shared" si="242"/>
        <v>女</v>
      </c>
      <c r="E2482" s="3" t="str">
        <f>"2507018413"</f>
        <v>2507018413</v>
      </c>
      <c r="F2482" s="3" t="str">
        <f t="shared" si="241"/>
        <v>84</v>
      </c>
      <c r="G2482" s="4" t="str">
        <f>"13"</f>
        <v>13</v>
      </c>
      <c r="H2482" s="5">
        <v>82.3</v>
      </c>
      <c r="I2482" s="3"/>
    </row>
    <row r="2483" customHeight="1" spans="1:9">
      <c r="A2483" s="3" t="str">
        <f t="shared" si="236"/>
        <v>0107</v>
      </c>
      <c r="B2483" s="3" t="s">
        <v>22</v>
      </c>
      <c r="C2483" s="3" t="str">
        <f>"杜子岩"</f>
        <v>杜子岩</v>
      </c>
      <c r="D2483" s="3" t="str">
        <f t="shared" si="242"/>
        <v>女</v>
      </c>
      <c r="E2483" s="3" t="str">
        <f>"2507018414"</f>
        <v>2507018414</v>
      </c>
      <c r="F2483" s="3" t="str">
        <f t="shared" si="241"/>
        <v>84</v>
      </c>
      <c r="G2483" s="4" t="str">
        <f>"14"</f>
        <v>14</v>
      </c>
      <c r="H2483" s="5">
        <v>73.6</v>
      </c>
      <c r="I2483" s="3"/>
    </row>
    <row r="2484" customHeight="1" spans="1:9">
      <c r="A2484" s="3" t="str">
        <f t="shared" si="236"/>
        <v>0107</v>
      </c>
      <c r="B2484" s="3" t="s">
        <v>22</v>
      </c>
      <c r="C2484" s="3" t="str">
        <f>"唐文静"</f>
        <v>唐文静</v>
      </c>
      <c r="D2484" s="3" t="str">
        <f t="shared" si="242"/>
        <v>女</v>
      </c>
      <c r="E2484" s="3" t="str">
        <f>"2507018415"</f>
        <v>2507018415</v>
      </c>
      <c r="F2484" s="3" t="str">
        <f t="shared" si="241"/>
        <v>84</v>
      </c>
      <c r="G2484" s="4" t="str">
        <f>"15"</f>
        <v>15</v>
      </c>
      <c r="H2484" s="5">
        <v>79.8</v>
      </c>
      <c r="I2484" s="3"/>
    </row>
    <row r="2485" customHeight="1" spans="1:9">
      <c r="A2485" s="3" t="str">
        <f t="shared" si="236"/>
        <v>0107</v>
      </c>
      <c r="B2485" s="3" t="s">
        <v>22</v>
      </c>
      <c r="C2485" s="3" t="str">
        <f>"纪彬彬"</f>
        <v>纪彬彬</v>
      </c>
      <c r="D2485" s="3" t="str">
        <f t="shared" si="242"/>
        <v>女</v>
      </c>
      <c r="E2485" s="3" t="str">
        <f>"2507018416"</f>
        <v>2507018416</v>
      </c>
      <c r="F2485" s="3" t="str">
        <f t="shared" si="241"/>
        <v>84</v>
      </c>
      <c r="G2485" s="4" t="str">
        <f>"16"</f>
        <v>16</v>
      </c>
      <c r="H2485" s="5">
        <v>65.8</v>
      </c>
      <c r="I2485" s="3"/>
    </row>
    <row r="2486" customHeight="1" spans="1:9">
      <c r="A2486" s="3" t="str">
        <f t="shared" si="236"/>
        <v>0107</v>
      </c>
      <c r="B2486" s="3" t="s">
        <v>22</v>
      </c>
      <c r="C2486" s="3" t="str">
        <f>"刘畅"</f>
        <v>刘畅</v>
      </c>
      <c r="D2486" s="3" t="str">
        <f>"男"</f>
        <v>男</v>
      </c>
      <c r="E2486" s="3" t="str">
        <f>"2507018417"</f>
        <v>2507018417</v>
      </c>
      <c r="F2486" s="3" t="str">
        <f t="shared" si="241"/>
        <v>84</v>
      </c>
      <c r="G2486" s="4" t="str">
        <f>"17"</f>
        <v>17</v>
      </c>
      <c r="H2486" s="5">
        <v>64</v>
      </c>
      <c r="I2486" s="3"/>
    </row>
    <row r="2487" customHeight="1" spans="1:9">
      <c r="A2487" s="3" t="str">
        <f t="shared" si="236"/>
        <v>0107</v>
      </c>
      <c r="B2487" s="3" t="s">
        <v>22</v>
      </c>
      <c r="C2487" s="3" t="str">
        <f>"王英男"</f>
        <v>王英男</v>
      </c>
      <c r="D2487" s="3" t="str">
        <f>"男"</f>
        <v>男</v>
      </c>
      <c r="E2487" s="3" t="str">
        <f>"2507018418"</f>
        <v>2507018418</v>
      </c>
      <c r="F2487" s="3" t="str">
        <f t="shared" si="241"/>
        <v>84</v>
      </c>
      <c r="G2487" s="4" t="str">
        <f>"18"</f>
        <v>18</v>
      </c>
      <c r="H2487" s="5">
        <v>68.6</v>
      </c>
      <c r="I2487" s="3"/>
    </row>
    <row r="2488" customHeight="1" spans="1:9">
      <c r="A2488" s="3" t="str">
        <f t="shared" si="236"/>
        <v>0107</v>
      </c>
      <c r="B2488" s="3" t="s">
        <v>22</v>
      </c>
      <c r="C2488" s="3" t="str">
        <f>"杨梅"</f>
        <v>杨梅</v>
      </c>
      <c r="D2488" s="3" t="str">
        <f t="shared" ref="D2488:D2504" si="243">"女"</f>
        <v>女</v>
      </c>
      <c r="E2488" s="3" t="str">
        <f>"2507018419"</f>
        <v>2507018419</v>
      </c>
      <c r="F2488" s="3" t="str">
        <f t="shared" si="241"/>
        <v>84</v>
      </c>
      <c r="G2488" s="4" t="str">
        <f>"19"</f>
        <v>19</v>
      </c>
      <c r="H2488" s="5">
        <v>85.1</v>
      </c>
      <c r="I2488" s="3"/>
    </row>
    <row r="2489" customHeight="1" spans="1:9">
      <c r="A2489" s="3" t="str">
        <f t="shared" si="236"/>
        <v>0107</v>
      </c>
      <c r="B2489" s="3" t="s">
        <v>22</v>
      </c>
      <c r="C2489" s="3" t="str">
        <f>"魏昕"</f>
        <v>魏昕</v>
      </c>
      <c r="D2489" s="3" t="str">
        <f t="shared" si="243"/>
        <v>女</v>
      </c>
      <c r="E2489" s="3" t="str">
        <f>"2507018420"</f>
        <v>2507018420</v>
      </c>
      <c r="F2489" s="3" t="str">
        <f t="shared" si="241"/>
        <v>84</v>
      </c>
      <c r="G2489" s="4" t="str">
        <f>"20"</f>
        <v>20</v>
      </c>
      <c r="H2489" s="5">
        <v>68.7</v>
      </c>
      <c r="I2489" s="3"/>
    </row>
    <row r="2490" customHeight="1" spans="1:9">
      <c r="A2490" s="3" t="str">
        <f t="shared" si="236"/>
        <v>0107</v>
      </c>
      <c r="B2490" s="3" t="s">
        <v>22</v>
      </c>
      <c r="C2490" s="3" t="str">
        <f>"马雪"</f>
        <v>马雪</v>
      </c>
      <c r="D2490" s="3" t="str">
        <f t="shared" si="243"/>
        <v>女</v>
      </c>
      <c r="E2490" s="3" t="str">
        <f>"2507018421"</f>
        <v>2507018421</v>
      </c>
      <c r="F2490" s="3" t="str">
        <f t="shared" si="241"/>
        <v>84</v>
      </c>
      <c r="G2490" s="4" t="str">
        <f>"21"</f>
        <v>21</v>
      </c>
      <c r="H2490" s="5">
        <v>0</v>
      </c>
      <c r="I2490" s="3" t="s">
        <v>11</v>
      </c>
    </row>
    <row r="2491" customHeight="1" spans="1:9">
      <c r="A2491" s="3" t="str">
        <f t="shared" si="236"/>
        <v>0107</v>
      </c>
      <c r="B2491" s="3" t="s">
        <v>22</v>
      </c>
      <c r="C2491" s="3" t="str">
        <f>"钱玫君"</f>
        <v>钱玫君</v>
      </c>
      <c r="D2491" s="3" t="str">
        <f t="shared" si="243"/>
        <v>女</v>
      </c>
      <c r="E2491" s="3" t="str">
        <f>"2507018422"</f>
        <v>2507018422</v>
      </c>
      <c r="F2491" s="3" t="str">
        <f t="shared" si="241"/>
        <v>84</v>
      </c>
      <c r="G2491" s="4" t="str">
        <f>"22"</f>
        <v>22</v>
      </c>
      <c r="H2491" s="5">
        <v>56.5</v>
      </c>
      <c r="I2491" s="3"/>
    </row>
    <row r="2492" customHeight="1" spans="1:9">
      <c r="A2492" s="3" t="str">
        <f t="shared" si="236"/>
        <v>0107</v>
      </c>
      <c r="B2492" s="3" t="s">
        <v>22</v>
      </c>
      <c r="C2492" s="3" t="str">
        <f>"张艺琪"</f>
        <v>张艺琪</v>
      </c>
      <c r="D2492" s="3" t="str">
        <f t="shared" si="243"/>
        <v>女</v>
      </c>
      <c r="E2492" s="3" t="str">
        <f>"2507018423"</f>
        <v>2507018423</v>
      </c>
      <c r="F2492" s="3" t="str">
        <f t="shared" si="241"/>
        <v>84</v>
      </c>
      <c r="G2492" s="4" t="str">
        <f>"23"</f>
        <v>23</v>
      </c>
      <c r="H2492" s="5">
        <v>0</v>
      </c>
      <c r="I2492" s="3" t="s">
        <v>11</v>
      </c>
    </row>
    <row r="2493" customHeight="1" spans="1:9">
      <c r="A2493" s="3" t="str">
        <f t="shared" si="236"/>
        <v>0107</v>
      </c>
      <c r="B2493" s="3" t="s">
        <v>22</v>
      </c>
      <c r="C2493" s="3" t="str">
        <f>"侯越"</f>
        <v>侯越</v>
      </c>
      <c r="D2493" s="3" t="str">
        <f t="shared" si="243"/>
        <v>女</v>
      </c>
      <c r="E2493" s="3" t="str">
        <f>"2507018424"</f>
        <v>2507018424</v>
      </c>
      <c r="F2493" s="3" t="str">
        <f t="shared" si="241"/>
        <v>84</v>
      </c>
      <c r="G2493" s="4" t="str">
        <f>"24"</f>
        <v>24</v>
      </c>
      <c r="H2493" s="5">
        <v>82.5</v>
      </c>
      <c r="I2493" s="3"/>
    </row>
    <row r="2494" customHeight="1" spans="1:9">
      <c r="A2494" s="3" t="str">
        <f t="shared" ref="A2494:A2527" si="244">"0107"</f>
        <v>0107</v>
      </c>
      <c r="B2494" s="3" t="s">
        <v>22</v>
      </c>
      <c r="C2494" s="3" t="str">
        <f>"张娇"</f>
        <v>张娇</v>
      </c>
      <c r="D2494" s="3" t="str">
        <f t="shared" si="243"/>
        <v>女</v>
      </c>
      <c r="E2494" s="3" t="str">
        <f>"2507018425"</f>
        <v>2507018425</v>
      </c>
      <c r="F2494" s="3" t="str">
        <f t="shared" si="241"/>
        <v>84</v>
      </c>
      <c r="G2494" s="4" t="str">
        <f>"25"</f>
        <v>25</v>
      </c>
      <c r="H2494" s="5">
        <v>85.9</v>
      </c>
      <c r="I2494" s="3"/>
    </row>
    <row r="2495" customHeight="1" spans="1:9">
      <c r="A2495" s="3" t="str">
        <f t="shared" si="244"/>
        <v>0107</v>
      </c>
      <c r="B2495" s="3" t="s">
        <v>22</v>
      </c>
      <c r="C2495" s="3" t="str">
        <f>"吴晴"</f>
        <v>吴晴</v>
      </c>
      <c r="D2495" s="3" t="str">
        <f t="shared" si="243"/>
        <v>女</v>
      </c>
      <c r="E2495" s="3" t="str">
        <f>"2507018426"</f>
        <v>2507018426</v>
      </c>
      <c r="F2495" s="3" t="str">
        <f t="shared" si="241"/>
        <v>84</v>
      </c>
      <c r="G2495" s="4" t="str">
        <f>"26"</f>
        <v>26</v>
      </c>
      <c r="H2495" s="5">
        <v>0</v>
      </c>
      <c r="I2495" s="3" t="s">
        <v>11</v>
      </c>
    </row>
    <row r="2496" customHeight="1" spans="1:9">
      <c r="A2496" s="3" t="str">
        <f t="shared" si="244"/>
        <v>0107</v>
      </c>
      <c r="B2496" s="3" t="s">
        <v>22</v>
      </c>
      <c r="C2496" s="3" t="str">
        <f>"陈梦园"</f>
        <v>陈梦园</v>
      </c>
      <c r="D2496" s="3" t="str">
        <f t="shared" si="243"/>
        <v>女</v>
      </c>
      <c r="E2496" s="3" t="str">
        <f>"2507018427"</f>
        <v>2507018427</v>
      </c>
      <c r="F2496" s="3" t="str">
        <f t="shared" si="241"/>
        <v>84</v>
      </c>
      <c r="G2496" s="4" t="str">
        <f>"27"</f>
        <v>27</v>
      </c>
      <c r="H2496" s="5">
        <v>69.5</v>
      </c>
      <c r="I2496" s="3"/>
    </row>
    <row r="2497" customHeight="1" spans="1:9">
      <c r="A2497" s="3" t="str">
        <f t="shared" si="244"/>
        <v>0107</v>
      </c>
      <c r="B2497" s="3" t="s">
        <v>22</v>
      </c>
      <c r="C2497" s="3" t="str">
        <f>"张婕"</f>
        <v>张婕</v>
      </c>
      <c r="D2497" s="3" t="str">
        <f t="shared" si="243"/>
        <v>女</v>
      </c>
      <c r="E2497" s="3" t="str">
        <f>"2507018428"</f>
        <v>2507018428</v>
      </c>
      <c r="F2497" s="3" t="str">
        <f t="shared" si="241"/>
        <v>84</v>
      </c>
      <c r="G2497" s="4" t="str">
        <f>"28"</f>
        <v>28</v>
      </c>
      <c r="H2497" s="5">
        <v>62.3</v>
      </c>
      <c r="I2497" s="3"/>
    </row>
    <row r="2498" customHeight="1" spans="1:9">
      <c r="A2498" s="3" t="str">
        <f t="shared" si="244"/>
        <v>0107</v>
      </c>
      <c r="B2498" s="3" t="s">
        <v>22</v>
      </c>
      <c r="C2498" s="3" t="str">
        <f>"赵楠"</f>
        <v>赵楠</v>
      </c>
      <c r="D2498" s="3" t="str">
        <f t="shared" si="243"/>
        <v>女</v>
      </c>
      <c r="E2498" s="3" t="str">
        <f>"2507018429"</f>
        <v>2507018429</v>
      </c>
      <c r="F2498" s="3" t="str">
        <f t="shared" si="241"/>
        <v>84</v>
      </c>
      <c r="G2498" s="4" t="str">
        <f>"29"</f>
        <v>29</v>
      </c>
      <c r="H2498" s="5">
        <v>84.7</v>
      </c>
      <c r="I2498" s="3"/>
    </row>
    <row r="2499" customHeight="1" spans="1:9">
      <c r="A2499" s="3" t="str">
        <f t="shared" si="244"/>
        <v>0107</v>
      </c>
      <c r="B2499" s="3" t="s">
        <v>22</v>
      </c>
      <c r="C2499" s="3" t="str">
        <f>"尹婷婷"</f>
        <v>尹婷婷</v>
      </c>
      <c r="D2499" s="3" t="str">
        <f t="shared" si="243"/>
        <v>女</v>
      </c>
      <c r="E2499" s="3" t="str">
        <f>"2507018430"</f>
        <v>2507018430</v>
      </c>
      <c r="F2499" s="3" t="str">
        <f t="shared" si="241"/>
        <v>84</v>
      </c>
      <c r="G2499" s="4" t="str">
        <f>"30"</f>
        <v>30</v>
      </c>
      <c r="H2499" s="5">
        <v>75.5</v>
      </c>
      <c r="I2499" s="3"/>
    </row>
    <row r="2500" customHeight="1" spans="1:9">
      <c r="A2500" s="3" t="str">
        <f t="shared" si="244"/>
        <v>0107</v>
      </c>
      <c r="B2500" s="3" t="s">
        <v>22</v>
      </c>
      <c r="C2500" s="3" t="str">
        <f>"司念"</f>
        <v>司念</v>
      </c>
      <c r="D2500" s="3" t="str">
        <f t="shared" si="243"/>
        <v>女</v>
      </c>
      <c r="E2500" s="3" t="str">
        <f>"2507018501"</f>
        <v>2507018501</v>
      </c>
      <c r="F2500" s="3" t="str">
        <f t="shared" ref="F2500:F2527" si="245">"85"</f>
        <v>85</v>
      </c>
      <c r="G2500" s="4" t="str">
        <f>"01"</f>
        <v>01</v>
      </c>
      <c r="H2500" s="5">
        <v>80.4</v>
      </c>
      <c r="I2500" s="3"/>
    </row>
    <row r="2501" customHeight="1" spans="1:9">
      <c r="A2501" s="3" t="str">
        <f t="shared" si="244"/>
        <v>0107</v>
      </c>
      <c r="B2501" s="3" t="s">
        <v>22</v>
      </c>
      <c r="C2501" s="3" t="str">
        <f>"陈佳祺"</f>
        <v>陈佳祺</v>
      </c>
      <c r="D2501" s="3" t="str">
        <f t="shared" si="243"/>
        <v>女</v>
      </c>
      <c r="E2501" s="3" t="str">
        <f>"2507018502"</f>
        <v>2507018502</v>
      </c>
      <c r="F2501" s="3" t="str">
        <f t="shared" si="245"/>
        <v>85</v>
      </c>
      <c r="G2501" s="4" t="str">
        <f>"02"</f>
        <v>02</v>
      </c>
      <c r="H2501" s="5">
        <v>0</v>
      </c>
      <c r="I2501" s="3" t="s">
        <v>11</v>
      </c>
    </row>
    <row r="2502" customHeight="1" spans="1:9">
      <c r="A2502" s="3" t="str">
        <f t="shared" si="244"/>
        <v>0107</v>
      </c>
      <c r="B2502" s="3" t="s">
        <v>22</v>
      </c>
      <c r="C2502" s="3" t="str">
        <f>"杜亚轩"</f>
        <v>杜亚轩</v>
      </c>
      <c r="D2502" s="3" t="str">
        <f t="shared" si="243"/>
        <v>女</v>
      </c>
      <c r="E2502" s="3" t="str">
        <f>"2507018503"</f>
        <v>2507018503</v>
      </c>
      <c r="F2502" s="3" t="str">
        <f t="shared" si="245"/>
        <v>85</v>
      </c>
      <c r="G2502" s="4" t="str">
        <f>"03"</f>
        <v>03</v>
      </c>
      <c r="H2502" s="5">
        <v>82.1</v>
      </c>
      <c r="I2502" s="3"/>
    </row>
    <row r="2503" customHeight="1" spans="1:9">
      <c r="A2503" s="3" t="str">
        <f t="shared" si="244"/>
        <v>0107</v>
      </c>
      <c r="B2503" s="3" t="s">
        <v>22</v>
      </c>
      <c r="C2503" s="3" t="str">
        <f>"任世怡"</f>
        <v>任世怡</v>
      </c>
      <c r="D2503" s="3" t="str">
        <f t="shared" si="243"/>
        <v>女</v>
      </c>
      <c r="E2503" s="3" t="str">
        <f>"2507018504"</f>
        <v>2507018504</v>
      </c>
      <c r="F2503" s="3" t="str">
        <f t="shared" si="245"/>
        <v>85</v>
      </c>
      <c r="G2503" s="4" t="str">
        <f>"04"</f>
        <v>04</v>
      </c>
      <c r="H2503" s="5">
        <v>78.9</v>
      </c>
      <c r="I2503" s="3"/>
    </row>
    <row r="2504" customHeight="1" spans="1:9">
      <c r="A2504" s="3" t="str">
        <f t="shared" si="244"/>
        <v>0107</v>
      </c>
      <c r="B2504" s="3" t="s">
        <v>22</v>
      </c>
      <c r="C2504" s="3" t="str">
        <f>"朱冰冰"</f>
        <v>朱冰冰</v>
      </c>
      <c r="D2504" s="3" t="str">
        <f t="shared" si="243"/>
        <v>女</v>
      </c>
      <c r="E2504" s="3" t="str">
        <f>"2507018505"</f>
        <v>2507018505</v>
      </c>
      <c r="F2504" s="3" t="str">
        <f t="shared" si="245"/>
        <v>85</v>
      </c>
      <c r="G2504" s="4" t="str">
        <f>"05"</f>
        <v>05</v>
      </c>
      <c r="H2504" s="5">
        <v>75.6</v>
      </c>
      <c r="I2504" s="3"/>
    </row>
    <row r="2505" customHeight="1" spans="1:9">
      <c r="A2505" s="3" t="str">
        <f t="shared" si="244"/>
        <v>0107</v>
      </c>
      <c r="B2505" s="3" t="s">
        <v>22</v>
      </c>
      <c r="C2505" s="3" t="str">
        <f>"王浩民"</f>
        <v>王浩民</v>
      </c>
      <c r="D2505" s="3" t="str">
        <f>"男"</f>
        <v>男</v>
      </c>
      <c r="E2505" s="3" t="str">
        <f>"2507018506"</f>
        <v>2507018506</v>
      </c>
      <c r="F2505" s="3" t="str">
        <f t="shared" si="245"/>
        <v>85</v>
      </c>
      <c r="G2505" s="4" t="str">
        <f>"06"</f>
        <v>06</v>
      </c>
      <c r="H2505" s="5">
        <v>0</v>
      </c>
      <c r="I2505" s="3" t="s">
        <v>11</v>
      </c>
    </row>
    <row r="2506" customHeight="1" spans="1:9">
      <c r="A2506" s="3" t="str">
        <f t="shared" si="244"/>
        <v>0107</v>
      </c>
      <c r="B2506" s="3" t="s">
        <v>22</v>
      </c>
      <c r="C2506" s="3" t="str">
        <f>"蔡昊彤"</f>
        <v>蔡昊彤</v>
      </c>
      <c r="D2506" s="3" t="str">
        <f>"女"</f>
        <v>女</v>
      </c>
      <c r="E2506" s="3" t="str">
        <f>"2507018507"</f>
        <v>2507018507</v>
      </c>
      <c r="F2506" s="3" t="str">
        <f t="shared" si="245"/>
        <v>85</v>
      </c>
      <c r="G2506" s="4" t="str">
        <f>"07"</f>
        <v>07</v>
      </c>
      <c r="H2506" s="5">
        <v>83.9</v>
      </c>
      <c r="I2506" s="3"/>
    </row>
    <row r="2507" customHeight="1" spans="1:9">
      <c r="A2507" s="3" t="str">
        <f t="shared" si="244"/>
        <v>0107</v>
      </c>
      <c r="B2507" s="3" t="s">
        <v>22</v>
      </c>
      <c r="C2507" s="3" t="str">
        <f>"孙祺蕙"</f>
        <v>孙祺蕙</v>
      </c>
      <c r="D2507" s="3" t="str">
        <f>"女"</f>
        <v>女</v>
      </c>
      <c r="E2507" s="3" t="str">
        <f>"2507018508"</f>
        <v>2507018508</v>
      </c>
      <c r="F2507" s="3" t="str">
        <f t="shared" si="245"/>
        <v>85</v>
      </c>
      <c r="G2507" s="4" t="str">
        <f>"08"</f>
        <v>08</v>
      </c>
      <c r="H2507" s="5">
        <v>64.3</v>
      </c>
      <c r="I2507" s="3"/>
    </row>
    <row r="2508" customHeight="1" spans="1:9">
      <c r="A2508" s="3" t="str">
        <f t="shared" si="244"/>
        <v>0107</v>
      </c>
      <c r="B2508" s="3" t="s">
        <v>22</v>
      </c>
      <c r="C2508" s="3" t="str">
        <f>"陈赞宇"</f>
        <v>陈赞宇</v>
      </c>
      <c r="D2508" s="3" t="str">
        <f>"男"</f>
        <v>男</v>
      </c>
      <c r="E2508" s="3" t="str">
        <f>"2507018509"</f>
        <v>2507018509</v>
      </c>
      <c r="F2508" s="3" t="str">
        <f t="shared" si="245"/>
        <v>85</v>
      </c>
      <c r="G2508" s="4" t="str">
        <f>"09"</f>
        <v>09</v>
      </c>
      <c r="H2508" s="5">
        <v>75.5</v>
      </c>
      <c r="I2508" s="3"/>
    </row>
    <row r="2509" customHeight="1" spans="1:9">
      <c r="A2509" s="3" t="str">
        <f t="shared" si="244"/>
        <v>0107</v>
      </c>
      <c r="B2509" s="3" t="s">
        <v>22</v>
      </c>
      <c r="C2509" s="3" t="str">
        <f>"李融"</f>
        <v>李融</v>
      </c>
      <c r="D2509" s="3" t="str">
        <f>"女"</f>
        <v>女</v>
      </c>
      <c r="E2509" s="3" t="str">
        <f>"2507018510"</f>
        <v>2507018510</v>
      </c>
      <c r="F2509" s="3" t="str">
        <f t="shared" si="245"/>
        <v>85</v>
      </c>
      <c r="G2509" s="4" t="str">
        <f>"10"</f>
        <v>10</v>
      </c>
      <c r="H2509" s="5">
        <v>56.6</v>
      </c>
      <c r="I2509" s="3"/>
    </row>
    <row r="2510" customHeight="1" spans="1:9">
      <c r="A2510" s="3" t="str">
        <f t="shared" si="244"/>
        <v>0107</v>
      </c>
      <c r="B2510" s="3" t="s">
        <v>22</v>
      </c>
      <c r="C2510" s="3" t="str">
        <f>"陈思佳"</f>
        <v>陈思佳</v>
      </c>
      <c r="D2510" s="3" t="str">
        <f>"女"</f>
        <v>女</v>
      </c>
      <c r="E2510" s="3" t="str">
        <f>"2507018511"</f>
        <v>2507018511</v>
      </c>
      <c r="F2510" s="3" t="str">
        <f t="shared" si="245"/>
        <v>85</v>
      </c>
      <c r="G2510" s="4" t="str">
        <f>"11"</f>
        <v>11</v>
      </c>
      <c r="H2510" s="5">
        <v>75.4</v>
      </c>
      <c r="I2510" s="3"/>
    </row>
    <row r="2511" customHeight="1" spans="1:9">
      <c r="A2511" s="3" t="str">
        <f t="shared" si="244"/>
        <v>0107</v>
      </c>
      <c r="B2511" s="3" t="s">
        <v>22</v>
      </c>
      <c r="C2511" s="3" t="str">
        <f>"韩曾"</f>
        <v>韩曾</v>
      </c>
      <c r="D2511" s="3" t="str">
        <f>"女"</f>
        <v>女</v>
      </c>
      <c r="E2511" s="3" t="str">
        <f>"2507018512"</f>
        <v>2507018512</v>
      </c>
      <c r="F2511" s="3" t="str">
        <f t="shared" si="245"/>
        <v>85</v>
      </c>
      <c r="G2511" s="4" t="str">
        <f>"12"</f>
        <v>12</v>
      </c>
      <c r="H2511" s="5">
        <v>0</v>
      </c>
      <c r="I2511" s="3" t="s">
        <v>11</v>
      </c>
    </row>
    <row r="2512" customHeight="1" spans="1:9">
      <c r="A2512" s="3" t="str">
        <f t="shared" si="244"/>
        <v>0107</v>
      </c>
      <c r="B2512" s="3" t="s">
        <v>22</v>
      </c>
      <c r="C2512" s="3" t="str">
        <f>"周雪凯"</f>
        <v>周雪凯</v>
      </c>
      <c r="D2512" s="3" t="str">
        <f>"男"</f>
        <v>男</v>
      </c>
      <c r="E2512" s="3" t="str">
        <f>"2507018513"</f>
        <v>2507018513</v>
      </c>
      <c r="F2512" s="3" t="str">
        <f t="shared" si="245"/>
        <v>85</v>
      </c>
      <c r="G2512" s="4" t="str">
        <f>"13"</f>
        <v>13</v>
      </c>
      <c r="H2512" s="5">
        <v>0</v>
      </c>
      <c r="I2512" s="3" t="s">
        <v>11</v>
      </c>
    </row>
    <row r="2513" customHeight="1" spans="1:9">
      <c r="A2513" s="3" t="str">
        <f t="shared" si="244"/>
        <v>0107</v>
      </c>
      <c r="B2513" s="3" t="s">
        <v>22</v>
      </c>
      <c r="C2513" s="3" t="str">
        <f>"赵芮漫"</f>
        <v>赵芮漫</v>
      </c>
      <c r="D2513" s="3" t="str">
        <f t="shared" ref="D2513:D2520" si="246">"女"</f>
        <v>女</v>
      </c>
      <c r="E2513" s="3" t="str">
        <f>"2507018514"</f>
        <v>2507018514</v>
      </c>
      <c r="F2513" s="3" t="str">
        <f t="shared" si="245"/>
        <v>85</v>
      </c>
      <c r="G2513" s="4" t="str">
        <f>"14"</f>
        <v>14</v>
      </c>
      <c r="H2513" s="5">
        <v>85.4</v>
      </c>
      <c r="I2513" s="3"/>
    </row>
    <row r="2514" customHeight="1" spans="1:9">
      <c r="A2514" s="3" t="str">
        <f t="shared" si="244"/>
        <v>0107</v>
      </c>
      <c r="B2514" s="3" t="s">
        <v>22</v>
      </c>
      <c r="C2514" s="3" t="str">
        <f>"钱莹"</f>
        <v>钱莹</v>
      </c>
      <c r="D2514" s="3" t="str">
        <f t="shared" si="246"/>
        <v>女</v>
      </c>
      <c r="E2514" s="3" t="str">
        <f>"2507018515"</f>
        <v>2507018515</v>
      </c>
      <c r="F2514" s="3" t="str">
        <f t="shared" si="245"/>
        <v>85</v>
      </c>
      <c r="G2514" s="4" t="str">
        <f>"15"</f>
        <v>15</v>
      </c>
      <c r="H2514" s="5">
        <v>86.9</v>
      </c>
      <c r="I2514" s="3"/>
    </row>
    <row r="2515" customHeight="1" spans="1:9">
      <c r="A2515" s="3" t="str">
        <f t="shared" si="244"/>
        <v>0107</v>
      </c>
      <c r="B2515" s="3" t="s">
        <v>22</v>
      </c>
      <c r="C2515" s="3" t="str">
        <f>"费玉璐"</f>
        <v>费玉璐</v>
      </c>
      <c r="D2515" s="3" t="str">
        <f t="shared" si="246"/>
        <v>女</v>
      </c>
      <c r="E2515" s="3" t="str">
        <f>"2507018516"</f>
        <v>2507018516</v>
      </c>
      <c r="F2515" s="3" t="str">
        <f t="shared" si="245"/>
        <v>85</v>
      </c>
      <c r="G2515" s="4" t="str">
        <f>"16"</f>
        <v>16</v>
      </c>
      <c r="H2515" s="5">
        <v>0</v>
      </c>
      <c r="I2515" s="3" t="s">
        <v>11</v>
      </c>
    </row>
    <row r="2516" customHeight="1" spans="1:9">
      <c r="A2516" s="3" t="str">
        <f t="shared" si="244"/>
        <v>0107</v>
      </c>
      <c r="B2516" s="3" t="s">
        <v>22</v>
      </c>
      <c r="C2516" s="3" t="str">
        <f>"张金凤"</f>
        <v>张金凤</v>
      </c>
      <c r="D2516" s="3" t="str">
        <f t="shared" si="246"/>
        <v>女</v>
      </c>
      <c r="E2516" s="3" t="str">
        <f>"2507018517"</f>
        <v>2507018517</v>
      </c>
      <c r="F2516" s="3" t="str">
        <f t="shared" si="245"/>
        <v>85</v>
      </c>
      <c r="G2516" s="4" t="str">
        <f>"17"</f>
        <v>17</v>
      </c>
      <c r="H2516" s="5">
        <v>86.3</v>
      </c>
      <c r="I2516" s="3"/>
    </row>
    <row r="2517" customHeight="1" spans="1:9">
      <c r="A2517" s="3" t="str">
        <f t="shared" si="244"/>
        <v>0107</v>
      </c>
      <c r="B2517" s="3" t="s">
        <v>22</v>
      </c>
      <c r="C2517" s="3" t="str">
        <f>"魏园"</f>
        <v>魏园</v>
      </c>
      <c r="D2517" s="3" t="str">
        <f t="shared" si="246"/>
        <v>女</v>
      </c>
      <c r="E2517" s="3" t="str">
        <f>"2507018518"</f>
        <v>2507018518</v>
      </c>
      <c r="F2517" s="3" t="str">
        <f t="shared" si="245"/>
        <v>85</v>
      </c>
      <c r="G2517" s="4" t="str">
        <f>"18"</f>
        <v>18</v>
      </c>
      <c r="H2517" s="5">
        <v>83.6</v>
      </c>
      <c r="I2517" s="3"/>
    </row>
    <row r="2518" customHeight="1" spans="1:9">
      <c r="A2518" s="3" t="str">
        <f t="shared" si="244"/>
        <v>0107</v>
      </c>
      <c r="B2518" s="3" t="s">
        <v>22</v>
      </c>
      <c r="C2518" s="3" t="str">
        <f>"赵程"</f>
        <v>赵程</v>
      </c>
      <c r="D2518" s="3" t="str">
        <f t="shared" si="246"/>
        <v>女</v>
      </c>
      <c r="E2518" s="3" t="str">
        <f>"2507018519"</f>
        <v>2507018519</v>
      </c>
      <c r="F2518" s="3" t="str">
        <f t="shared" si="245"/>
        <v>85</v>
      </c>
      <c r="G2518" s="4" t="str">
        <f>"19"</f>
        <v>19</v>
      </c>
      <c r="H2518" s="5">
        <v>79.6</v>
      </c>
      <c r="I2518" s="3"/>
    </row>
    <row r="2519" customHeight="1" spans="1:9">
      <c r="A2519" s="3" t="str">
        <f t="shared" si="244"/>
        <v>0107</v>
      </c>
      <c r="B2519" s="3" t="s">
        <v>22</v>
      </c>
      <c r="C2519" s="3" t="str">
        <f>"张未"</f>
        <v>张未</v>
      </c>
      <c r="D2519" s="3" t="str">
        <f t="shared" si="246"/>
        <v>女</v>
      </c>
      <c r="E2519" s="3" t="str">
        <f>"2507018520"</f>
        <v>2507018520</v>
      </c>
      <c r="F2519" s="3" t="str">
        <f t="shared" si="245"/>
        <v>85</v>
      </c>
      <c r="G2519" s="4" t="str">
        <f>"20"</f>
        <v>20</v>
      </c>
      <c r="H2519" s="5">
        <v>86.9</v>
      </c>
      <c r="I2519" s="3"/>
    </row>
    <row r="2520" customHeight="1" spans="1:9">
      <c r="A2520" s="3" t="str">
        <f t="shared" si="244"/>
        <v>0107</v>
      </c>
      <c r="B2520" s="3" t="s">
        <v>22</v>
      </c>
      <c r="C2520" s="3" t="str">
        <f>"杨倩"</f>
        <v>杨倩</v>
      </c>
      <c r="D2520" s="3" t="str">
        <f t="shared" si="246"/>
        <v>女</v>
      </c>
      <c r="E2520" s="3" t="str">
        <f>"2507018521"</f>
        <v>2507018521</v>
      </c>
      <c r="F2520" s="3" t="str">
        <f t="shared" si="245"/>
        <v>85</v>
      </c>
      <c r="G2520" s="4" t="str">
        <f>"21"</f>
        <v>21</v>
      </c>
      <c r="H2520" s="5">
        <v>79.9</v>
      </c>
      <c r="I2520" s="3"/>
    </row>
    <row r="2521" customHeight="1" spans="1:9">
      <c r="A2521" s="3" t="str">
        <f t="shared" si="244"/>
        <v>0107</v>
      </c>
      <c r="B2521" s="3" t="s">
        <v>22</v>
      </c>
      <c r="C2521" s="3" t="str">
        <f>"王骞"</f>
        <v>王骞</v>
      </c>
      <c r="D2521" s="3" t="str">
        <f>"男"</f>
        <v>男</v>
      </c>
      <c r="E2521" s="3" t="str">
        <f>"2507018522"</f>
        <v>2507018522</v>
      </c>
      <c r="F2521" s="3" t="str">
        <f t="shared" si="245"/>
        <v>85</v>
      </c>
      <c r="G2521" s="4" t="str">
        <f>"22"</f>
        <v>22</v>
      </c>
      <c r="H2521" s="5">
        <v>0</v>
      </c>
      <c r="I2521" s="3" t="s">
        <v>11</v>
      </c>
    </row>
    <row r="2522" customHeight="1" spans="1:9">
      <c r="A2522" s="3" t="str">
        <f t="shared" si="244"/>
        <v>0107</v>
      </c>
      <c r="B2522" s="3" t="s">
        <v>22</v>
      </c>
      <c r="C2522" s="3" t="str">
        <f>"李丽君"</f>
        <v>李丽君</v>
      </c>
      <c r="D2522" s="3" t="str">
        <f>"女"</f>
        <v>女</v>
      </c>
      <c r="E2522" s="3" t="str">
        <f>"2507018523"</f>
        <v>2507018523</v>
      </c>
      <c r="F2522" s="3" t="str">
        <f t="shared" si="245"/>
        <v>85</v>
      </c>
      <c r="G2522" s="4" t="str">
        <f>"23"</f>
        <v>23</v>
      </c>
      <c r="H2522" s="5">
        <v>0</v>
      </c>
      <c r="I2522" s="3" t="s">
        <v>11</v>
      </c>
    </row>
    <row r="2523" customHeight="1" spans="1:9">
      <c r="A2523" s="3" t="str">
        <f t="shared" si="244"/>
        <v>0107</v>
      </c>
      <c r="B2523" s="3" t="s">
        <v>22</v>
      </c>
      <c r="C2523" s="3" t="str">
        <f>"张金鑫"</f>
        <v>张金鑫</v>
      </c>
      <c r="D2523" s="3" t="str">
        <f>"女"</f>
        <v>女</v>
      </c>
      <c r="E2523" s="3" t="str">
        <f>"2507018524"</f>
        <v>2507018524</v>
      </c>
      <c r="F2523" s="3" t="str">
        <f t="shared" si="245"/>
        <v>85</v>
      </c>
      <c r="G2523" s="4" t="str">
        <f>"24"</f>
        <v>24</v>
      </c>
      <c r="H2523" s="5">
        <v>59.1</v>
      </c>
      <c r="I2523" s="3"/>
    </row>
    <row r="2524" customHeight="1" spans="1:9">
      <c r="A2524" s="3" t="str">
        <f t="shared" si="244"/>
        <v>0107</v>
      </c>
      <c r="B2524" s="3" t="s">
        <v>22</v>
      </c>
      <c r="C2524" s="3" t="str">
        <f>"高海廷"</f>
        <v>高海廷</v>
      </c>
      <c r="D2524" s="3" t="str">
        <f>"男"</f>
        <v>男</v>
      </c>
      <c r="E2524" s="3" t="str">
        <f>"2507018525"</f>
        <v>2507018525</v>
      </c>
      <c r="F2524" s="3" t="str">
        <f t="shared" si="245"/>
        <v>85</v>
      </c>
      <c r="G2524" s="4" t="str">
        <f>"25"</f>
        <v>25</v>
      </c>
      <c r="H2524" s="5">
        <v>0</v>
      </c>
      <c r="I2524" s="3" t="s">
        <v>11</v>
      </c>
    </row>
    <row r="2525" customHeight="1" spans="1:9">
      <c r="A2525" s="3" t="str">
        <f t="shared" si="244"/>
        <v>0107</v>
      </c>
      <c r="B2525" s="3" t="s">
        <v>22</v>
      </c>
      <c r="C2525" s="3" t="str">
        <f>"温柔柔"</f>
        <v>温柔柔</v>
      </c>
      <c r="D2525" s="3" t="str">
        <f>"女"</f>
        <v>女</v>
      </c>
      <c r="E2525" s="3" t="str">
        <f>"2507018526"</f>
        <v>2507018526</v>
      </c>
      <c r="F2525" s="3" t="str">
        <f t="shared" si="245"/>
        <v>85</v>
      </c>
      <c r="G2525" s="4" t="str">
        <f>"26"</f>
        <v>26</v>
      </c>
      <c r="H2525" s="5">
        <v>78.4</v>
      </c>
      <c r="I2525" s="3"/>
    </row>
    <row r="2526" customHeight="1" spans="1:9">
      <c r="A2526" s="3" t="str">
        <f t="shared" si="244"/>
        <v>0107</v>
      </c>
      <c r="B2526" s="3" t="s">
        <v>22</v>
      </c>
      <c r="C2526" s="3" t="str">
        <f>"李佳敏"</f>
        <v>李佳敏</v>
      </c>
      <c r="D2526" s="3" t="str">
        <f>"女"</f>
        <v>女</v>
      </c>
      <c r="E2526" s="3" t="str">
        <f>"2507018527"</f>
        <v>2507018527</v>
      </c>
      <c r="F2526" s="3" t="str">
        <f t="shared" si="245"/>
        <v>85</v>
      </c>
      <c r="G2526" s="4" t="str">
        <f>"27"</f>
        <v>27</v>
      </c>
      <c r="H2526" s="5">
        <v>83.8</v>
      </c>
      <c r="I2526" s="3"/>
    </row>
    <row r="2527" customHeight="1" spans="1:9">
      <c r="A2527" s="3" t="str">
        <f t="shared" si="244"/>
        <v>0107</v>
      </c>
      <c r="B2527" s="3" t="s">
        <v>22</v>
      </c>
      <c r="C2527" s="3" t="str">
        <f>"于红红"</f>
        <v>于红红</v>
      </c>
      <c r="D2527" s="3" t="str">
        <f>"女"</f>
        <v>女</v>
      </c>
      <c r="E2527" s="3" t="str">
        <f>"2507018528"</f>
        <v>2507018528</v>
      </c>
      <c r="F2527" s="3" t="str">
        <f t="shared" si="245"/>
        <v>85</v>
      </c>
      <c r="G2527" s="4" t="str">
        <f>"28"</f>
        <v>28</v>
      </c>
      <c r="H2527" s="5">
        <v>79.1</v>
      </c>
      <c r="I2527" s="3"/>
    </row>
    <row r="2528" customHeight="1" spans="1:9">
      <c r="A2528" s="3" t="str">
        <f t="shared" ref="A2528:A2576" si="247">"0108"</f>
        <v>0108</v>
      </c>
      <c r="B2528" s="3" t="s">
        <v>23</v>
      </c>
      <c r="C2528" s="3" t="str">
        <f>"汪艺伟"</f>
        <v>汪艺伟</v>
      </c>
      <c r="D2528" s="3" t="str">
        <f>"女"</f>
        <v>女</v>
      </c>
      <c r="E2528" s="3" t="str">
        <f>"2507018601"</f>
        <v>2507018601</v>
      </c>
      <c r="F2528" s="3" t="str">
        <f t="shared" ref="F2528:F2552" si="248">"86"</f>
        <v>86</v>
      </c>
      <c r="G2528" s="4" t="str">
        <f>"01"</f>
        <v>01</v>
      </c>
      <c r="H2528" s="5">
        <v>0</v>
      </c>
      <c r="I2528" s="3" t="s">
        <v>11</v>
      </c>
    </row>
    <row r="2529" customHeight="1" spans="1:9">
      <c r="A2529" s="3" t="str">
        <f t="shared" si="247"/>
        <v>0108</v>
      </c>
      <c r="B2529" s="3" t="s">
        <v>23</v>
      </c>
      <c r="C2529" s="3" t="str">
        <f>"朱兴淼"</f>
        <v>朱兴淼</v>
      </c>
      <c r="D2529" s="3" t="str">
        <f>"男"</f>
        <v>男</v>
      </c>
      <c r="E2529" s="3" t="str">
        <f>"2507018602"</f>
        <v>2507018602</v>
      </c>
      <c r="F2529" s="3" t="str">
        <f t="shared" si="248"/>
        <v>86</v>
      </c>
      <c r="G2529" s="4" t="str">
        <f>"02"</f>
        <v>02</v>
      </c>
      <c r="H2529" s="5">
        <v>77.2</v>
      </c>
      <c r="I2529" s="3"/>
    </row>
    <row r="2530" customHeight="1" spans="1:9">
      <c r="A2530" s="3" t="str">
        <f t="shared" si="247"/>
        <v>0108</v>
      </c>
      <c r="B2530" s="3" t="s">
        <v>23</v>
      </c>
      <c r="C2530" s="3" t="str">
        <f>"王永莉"</f>
        <v>王永莉</v>
      </c>
      <c r="D2530" s="3" t="str">
        <f>"女"</f>
        <v>女</v>
      </c>
      <c r="E2530" s="3" t="str">
        <f>"2507018603"</f>
        <v>2507018603</v>
      </c>
      <c r="F2530" s="3" t="str">
        <f t="shared" si="248"/>
        <v>86</v>
      </c>
      <c r="G2530" s="4" t="str">
        <f>"03"</f>
        <v>03</v>
      </c>
      <c r="H2530" s="5">
        <v>76.5</v>
      </c>
      <c r="I2530" s="3"/>
    </row>
    <row r="2531" customHeight="1" spans="1:9">
      <c r="A2531" s="3" t="str">
        <f t="shared" si="247"/>
        <v>0108</v>
      </c>
      <c r="B2531" s="3" t="s">
        <v>23</v>
      </c>
      <c r="C2531" s="3" t="str">
        <f>"施佳陈"</f>
        <v>施佳陈</v>
      </c>
      <c r="D2531" s="3" t="str">
        <f>"男"</f>
        <v>男</v>
      </c>
      <c r="E2531" s="3" t="str">
        <f>"2507018604"</f>
        <v>2507018604</v>
      </c>
      <c r="F2531" s="3" t="str">
        <f t="shared" si="248"/>
        <v>86</v>
      </c>
      <c r="G2531" s="4" t="str">
        <f>"04"</f>
        <v>04</v>
      </c>
      <c r="H2531" s="5">
        <v>0</v>
      </c>
      <c r="I2531" s="3" t="s">
        <v>11</v>
      </c>
    </row>
    <row r="2532" customHeight="1" spans="1:9">
      <c r="A2532" s="3" t="str">
        <f t="shared" si="247"/>
        <v>0108</v>
      </c>
      <c r="B2532" s="3" t="s">
        <v>23</v>
      </c>
      <c r="C2532" s="3" t="str">
        <f>"刘婧"</f>
        <v>刘婧</v>
      </c>
      <c r="D2532" s="3" t="str">
        <f t="shared" ref="D2532:D2540" si="249">"女"</f>
        <v>女</v>
      </c>
      <c r="E2532" s="3" t="str">
        <f>"2507018605"</f>
        <v>2507018605</v>
      </c>
      <c r="F2532" s="3" t="str">
        <f t="shared" si="248"/>
        <v>86</v>
      </c>
      <c r="G2532" s="4" t="str">
        <f>"05"</f>
        <v>05</v>
      </c>
      <c r="H2532" s="5">
        <v>69.4</v>
      </c>
      <c r="I2532" s="3"/>
    </row>
    <row r="2533" customHeight="1" spans="1:9">
      <c r="A2533" s="3" t="str">
        <f t="shared" si="247"/>
        <v>0108</v>
      </c>
      <c r="B2533" s="3" t="s">
        <v>23</v>
      </c>
      <c r="C2533" s="3" t="str">
        <f>"葛晓楠"</f>
        <v>葛晓楠</v>
      </c>
      <c r="D2533" s="3" t="str">
        <f t="shared" si="249"/>
        <v>女</v>
      </c>
      <c r="E2533" s="3" t="str">
        <f>"2507018606"</f>
        <v>2507018606</v>
      </c>
      <c r="F2533" s="3" t="str">
        <f t="shared" si="248"/>
        <v>86</v>
      </c>
      <c r="G2533" s="4" t="str">
        <f>"06"</f>
        <v>06</v>
      </c>
      <c r="H2533" s="5">
        <v>0</v>
      </c>
      <c r="I2533" s="3" t="s">
        <v>11</v>
      </c>
    </row>
    <row r="2534" customHeight="1" spans="1:9">
      <c r="A2534" s="3" t="str">
        <f t="shared" si="247"/>
        <v>0108</v>
      </c>
      <c r="B2534" s="3" t="s">
        <v>23</v>
      </c>
      <c r="C2534" s="3" t="str">
        <f>"李欣雅"</f>
        <v>李欣雅</v>
      </c>
      <c r="D2534" s="3" t="str">
        <f t="shared" si="249"/>
        <v>女</v>
      </c>
      <c r="E2534" s="3" t="str">
        <f>"2507018607"</f>
        <v>2507018607</v>
      </c>
      <c r="F2534" s="3" t="str">
        <f t="shared" si="248"/>
        <v>86</v>
      </c>
      <c r="G2534" s="4" t="str">
        <f>"07"</f>
        <v>07</v>
      </c>
      <c r="H2534" s="5">
        <v>0</v>
      </c>
      <c r="I2534" s="3" t="s">
        <v>11</v>
      </c>
    </row>
    <row r="2535" customHeight="1" spans="1:9">
      <c r="A2535" s="3" t="str">
        <f t="shared" si="247"/>
        <v>0108</v>
      </c>
      <c r="B2535" s="3" t="s">
        <v>23</v>
      </c>
      <c r="C2535" s="3" t="str">
        <f>"吕佳宁"</f>
        <v>吕佳宁</v>
      </c>
      <c r="D2535" s="3" t="str">
        <f t="shared" si="249"/>
        <v>女</v>
      </c>
      <c r="E2535" s="3" t="str">
        <f>"2507018608"</f>
        <v>2507018608</v>
      </c>
      <c r="F2535" s="3" t="str">
        <f t="shared" si="248"/>
        <v>86</v>
      </c>
      <c r="G2535" s="4" t="str">
        <f>"08"</f>
        <v>08</v>
      </c>
      <c r="H2535" s="5">
        <v>75</v>
      </c>
      <c r="I2535" s="3"/>
    </row>
    <row r="2536" customHeight="1" spans="1:9">
      <c r="A2536" s="3" t="str">
        <f t="shared" si="247"/>
        <v>0108</v>
      </c>
      <c r="B2536" s="3" t="s">
        <v>23</v>
      </c>
      <c r="C2536" s="3" t="str">
        <f>"赵雯雯"</f>
        <v>赵雯雯</v>
      </c>
      <c r="D2536" s="3" t="str">
        <f t="shared" si="249"/>
        <v>女</v>
      </c>
      <c r="E2536" s="3" t="str">
        <f>"2507018609"</f>
        <v>2507018609</v>
      </c>
      <c r="F2536" s="3" t="str">
        <f t="shared" si="248"/>
        <v>86</v>
      </c>
      <c r="G2536" s="4" t="str">
        <f>"09"</f>
        <v>09</v>
      </c>
      <c r="H2536" s="5">
        <v>71.7</v>
      </c>
      <c r="I2536" s="3"/>
    </row>
    <row r="2537" customHeight="1" spans="1:9">
      <c r="A2537" s="3" t="str">
        <f t="shared" si="247"/>
        <v>0108</v>
      </c>
      <c r="B2537" s="3" t="s">
        <v>23</v>
      </c>
      <c r="C2537" s="3" t="str">
        <f>"路雅棋"</f>
        <v>路雅棋</v>
      </c>
      <c r="D2537" s="3" t="str">
        <f t="shared" si="249"/>
        <v>女</v>
      </c>
      <c r="E2537" s="3" t="str">
        <f>"2507018610"</f>
        <v>2507018610</v>
      </c>
      <c r="F2537" s="3" t="str">
        <f t="shared" si="248"/>
        <v>86</v>
      </c>
      <c r="G2537" s="4" t="str">
        <f>"10"</f>
        <v>10</v>
      </c>
      <c r="H2537" s="5">
        <v>80.9</v>
      </c>
      <c r="I2537" s="3"/>
    </row>
    <row r="2538" customHeight="1" spans="1:9">
      <c r="A2538" s="3" t="str">
        <f t="shared" si="247"/>
        <v>0108</v>
      </c>
      <c r="B2538" s="3" t="s">
        <v>23</v>
      </c>
      <c r="C2538" s="3" t="str">
        <f>"牛玮琪"</f>
        <v>牛玮琪</v>
      </c>
      <c r="D2538" s="3" t="str">
        <f t="shared" si="249"/>
        <v>女</v>
      </c>
      <c r="E2538" s="3" t="str">
        <f>"2507018611"</f>
        <v>2507018611</v>
      </c>
      <c r="F2538" s="3" t="str">
        <f t="shared" si="248"/>
        <v>86</v>
      </c>
      <c r="G2538" s="4" t="str">
        <f>"11"</f>
        <v>11</v>
      </c>
      <c r="H2538" s="5">
        <v>78.6</v>
      </c>
      <c r="I2538" s="3"/>
    </row>
    <row r="2539" customHeight="1" spans="1:9">
      <c r="A2539" s="3" t="str">
        <f t="shared" si="247"/>
        <v>0108</v>
      </c>
      <c r="B2539" s="3" t="s">
        <v>23</v>
      </c>
      <c r="C2539" s="3" t="str">
        <f>"王思琳"</f>
        <v>王思琳</v>
      </c>
      <c r="D2539" s="3" t="str">
        <f t="shared" si="249"/>
        <v>女</v>
      </c>
      <c r="E2539" s="3" t="str">
        <f>"2507018612"</f>
        <v>2507018612</v>
      </c>
      <c r="F2539" s="3" t="str">
        <f t="shared" si="248"/>
        <v>86</v>
      </c>
      <c r="G2539" s="4" t="str">
        <f>"12"</f>
        <v>12</v>
      </c>
      <c r="H2539" s="5">
        <v>0</v>
      </c>
      <c r="I2539" s="3" t="s">
        <v>11</v>
      </c>
    </row>
    <row r="2540" customHeight="1" spans="1:9">
      <c r="A2540" s="3" t="str">
        <f t="shared" si="247"/>
        <v>0108</v>
      </c>
      <c r="B2540" s="3" t="s">
        <v>23</v>
      </c>
      <c r="C2540" s="3" t="str">
        <f>"秦彤"</f>
        <v>秦彤</v>
      </c>
      <c r="D2540" s="3" t="str">
        <f t="shared" si="249"/>
        <v>女</v>
      </c>
      <c r="E2540" s="3" t="str">
        <f>"2507018613"</f>
        <v>2507018613</v>
      </c>
      <c r="F2540" s="3" t="str">
        <f t="shared" si="248"/>
        <v>86</v>
      </c>
      <c r="G2540" s="4" t="str">
        <f>"13"</f>
        <v>13</v>
      </c>
      <c r="H2540" s="5">
        <v>79.7</v>
      </c>
      <c r="I2540" s="3"/>
    </row>
    <row r="2541" customHeight="1" spans="1:9">
      <c r="A2541" s="3" t="str">
        <f t="shared" si="247"/>
        <v>0108</v>
      </c>
      <c r="B2541" s="3" t="s">
        <v>23</v>
      </c>
      <c r="C2541" s="3" t="str">
        <f>"胡晓波"</f>
        <v>胡晓波</v>
      </c>
      <c r="D2541" s="3" t="str">
        <f>"男"</f>
        <v>男</v>
      </c>
      <c r="E2541" s="3" t="str">
        <f>"2507018614"</f>
        <v>2507018614</v>
      </c>
      <c r="F2541" s="3" t="str">
        <f t="shared" si="248"/>
        <v>86</v>
      </c>
      <c r="G2541" s="4" t="str">
        <f>"14"</f>
        <v>14</v>
      </c>
      <c r="H2541" s="5">
        <v>68.8</v>
      </c>
      <c r="I2541" s="3"/>
    </row>
    <row r="2542" customHeight="1" spans="1:9">
      <c r="A2542" s="3" t="str">
        <f t="shared" si="247"/>
        <v>0108</v>
      </c>
      <c r="B2542" s="3" t="s">
        <v>23</v>
      </c>
      <c r="C2542" s="3" t="str">
        <f>"叶宗静"</f>
        <v>叶宗静</v>
      </c>
      <c r="D2542" s="3" t="str">
        <f>"女"</f>
        <v>女</v>
      </c>
      <c r="E2542" s="3" t="str">
        <f>"2507018615"</f>
        <v>2507018615</v>
      </c>
      <c r="F2542" s="3" t="str">
        <f t="shared" si="248"/>
        <v>86</v>
      </c>
      <c r="G2542" s="4" t="str">
        <f>"15"</f>
        <v>15</v>
      </c>
      <c r="H2542" s="5">
        <v>81.9</v>
      </c>
      <c r="I2542" s="3"/>
    </row>
    <row r="2543" customHeight="1" spans="1:9">
      <c r="A2543" s="3" t="str">
        <f t="shared" si="247"/>
        <v>0108</v>
      </c>
      <c r="B2543" s="3" t="s">
        <v>23</v>
      </c>
      <c r="C2543" s="3" t="str">
        <f>"李前侠"</f>
        <v>李前侠</v>
      </c>
      <c r="D2543" s="3" t="str">
        <f>"男"</f>
        <v>男</v>
      </c>
      <c r="E2543" s="3" t="str">
        <f>"2507018616"</f>
        <v>2507018616</v>
      </c>
      <c r="F2543" s="3" t="str">
        <f t="shared" si="248"/>
        <v>86</v>
      </c>
      <c r="G2543" s="4" t="str">
        <f>"16"</f>
        <v>16</v>
      </c>
      <c r="H2543" s="5">
        <v>78.4</v>
      </c>
      <c r="I2543" s="3"/>
    </row>
    <row r="2544" customHeight="1" spans="1:9">
      <c r="A2544" s="3" t="str">
        <f t="shared" si="247"/>
        <v>0108</v>
      </c>
      <c r="B2544" s="3" t="s">
        <v>23</v>
      </c>
      <c r="C2544" s="3" t="str">
        <f>"徐岩"</f>
        <v>徐岩</v>
      </c>
      <c r="D2544" s="3" t="str">
        <f>"女"</f>
        <v>女</v>
      </c>
      <c r="E2544" s="3" t="str">
        <f>"2507018617"</f>
        <v>2507018617</v>
      </c>
      <c r="F2544" s="3" t="str">
        <f t="shared" si="248"/>
        <v>86</v>
      </c>
      <c r="G2544" s="4" t="str">
        <f>"17"</f>
        <v>17</v>
      </c>
      <c r="H2544" s="5">
        <v>0</v>
      </c>
      <c r="I2544" s="3" t="s">
        <v>11</v>
      </c>
    </row>
    <row r="2545" customHeight="1" spans="1:9">
      <c r="A2545" s="3" t="str">
        <f t="shared" si="247"/>
        <v>0108</v>
      </c>
      <c r="B2545" s="3" t="s">
        <v>23</v>
      </c>
      <c r="C2545" s="3" t="str">
        <f>"周家俊"</f>
        <v>周家俊</v>
      </c>
      <c r="D2545" s="3" t="str">
        <f>"男"</f>
        <v>男</v>
      </c>
      <c r="E2545" s="3" t="str">
        <f>"2507018618"</f>
        <v>2507018618</v>
      </c>
      <c r="F2545" s="3" t="str">
        <f t="shared" si="248"/>
        <v>86</v>
      </c>
      <c r="G2545" s="4" t="str">
        <f>"18"</f>
        <v>18</v>
      </c>
      <c r="H2545" s="5">
        <v>80.4</v>
      </c>
      <c r="I2545" s="3"/>
    </row>
    <row r="2546" customHeight="1" spans="1:9">
      <c r="A2546" s="3" t="str">
        <f t="shared" si="247"/>
        <v>0108</v>
      </c>
      <c r="B2546" s="3" t="s">
        <v>23</v>
      </c>
      <c r="C2546" s="3" t="str">
        <f>"郭凤"</f>
        <v>郭凤</v>
      </c>
      <c r="D2546" s="3" t="str">
        <f>"女"</f>
        <v>女</v>
      </c>
      <c r="E2546" s="3" t="str">
        <f>"2507018619"</f>
        <v>2507018619</v>
      </c>
      <c r="F2546" s="3" t="str">
        <f t="shared" si="248"/>
        <v>86</v>
      </c>
      <c r="G2546" s="4" t="str">
        <f>"19"</f>
        <v>19</v>
      </c>
      <c r="H2546" s="5">
        <v>75.4</v>
      </c>
      <c r="I2546" s="3"/>
    </row>
    <row r="2547" customHeight="1" spans="1:9">
      <c r="A2547" s="3" t="str">
        <f t="shared" si="247"/>
        <v>0108</v>
      </c>
      <c r="B2547" s="3" t="s">
        <v>23</v>
      </c>
      <c r="C2547" s="3" t="str">
        <f>"张宝成"</f>
        <v>张宝成</v>
      </c>
      <c r="D2547" s="3" t="str">
        <f>"男"</f>
        <v>男</v>
      </c>
      <c r="E2547" s="3" t="str">
        <f>"2507018620"</f>
        <v>2507018620</v>
      </c>
      <c r="F2547" s="3" t="str">
        <f t="shared" si="248"/>
        <v>86</v>
      </c>
      <c r="G2547" s="4" t="str">
        <f>"20"</f>
        <v>20</v>
      </c>
      <c r="H2547" s="5">
        <v>0</v>
      </c>
      <c r="I2547" s="3" t="s">
        <v>11</v>
      </c>
    </row>
    <row r="2548" customHeight="1" spans="1:9">
      <c r="A2548" s="3" t="str">
        <f t="shared" si="247"/>
        <v>0108</v>
      </c>
      <c r="B2548" s="3" t="s">
        <v>23</v>
      </c>
      <c r="C2548" s="3" t="str">
        <f>"殷召琳"</f>
        <v>殷召琳</v>
      </c>
      <c r="D2548" s="3" t="str">
        <f>"女"</f>
        <v>女</v>
      </c>
      <c r="E2548" s="3" t="str">
        <f>"2507018621"</f>
        <v>2507018621</v>
      </c>
      <c r="F2548" s="3" t="str">
        <f t="shared" si="248"/>
        <v>86</v>
      </c>
      <c r="G2548" s="4" t="str">
        <f>"21"</f>
        <v>21</v>
      </c>
      <c r="H2548" s="5">
        <v>76.5</v>
      </c>
      <c r="I2548" s="3"/>
    </row>
    <row r="2549" customHeight="1" spans="1:9">
      <c r="A2549" s="3" t="str">
        <f t="shared" si="247"/>
        <v>0108</v>
      </c>
      <c r="B2549" s="3" t="s">
        <v>23</v>
      </c>
      <c r="C2549" s="3" t="str">
        <f>"杨晨"</f>
        <v>杨晨</v>
      </c>
      <c r="D2549" s="3" t="str">
        <f>"女"</f>
        <v>女</v>
      </c>
      <c r="E2549" s="3" t="str">
        <f>"2507018622"</f>
        <v>2507018622</v>
      </c>
      <c r="F2549" s="3" t="str">
        <f t="shared" si="248"/>
        <v>86</v>
      </c>
      <c r="G2549" s="4" t="str">
        <f>"22"</f>
        <v>22</v>
      </c>
      <c r="H2549" s="5">
        <v>0</v>
      </c>
      <c r="I2549" s="3" t="s">
        <v>11</v>
      </c>
    </row>
    <row r="2550" customHeight="1" spans="1:9">
      <c r="A2550" s="3" t="str">
        <f t="shared" si="247"/>
        <v>0108</v>
      </c>
      <c r="B2550" s="3" t="s">
        <v>23</v>
      </c>
      <c r="C2550" s="3" t="str">
        <f>"赵璞男"</f>
        <v>赵璞男</v>
      </c>
      <c r="D2550" s="3" t="str">
        <f>"男"</f>
        <v>男</v>
      </c>
      <c r="E2550" s="3" t="str">
        <f>"2507018623"</f>
        <v>2507018623</v>
      </c>
      <c r="F2550" s="3" t="str">
        <f t="shared" si="248"/>
        <v>86</v>
      </c>
      <c r="G2550" s="4" t="str">
        <f>"23"</f>
        <v>23</v>
      </c>
      <c r="H2550" s="5">
        <v>0</v>
      </c>
      <c r="I2550" s="3" t="s">
        <v>11</v>
      </c>
    </row>
    <row r="2551" customHeight="1" spans="1:9">
      <c r="A2551" s="3" t="str">
        <f t="shared" si="247"/>
        <v>0108</v>
      </c>
      <c r="B2551" s="3" t="s">
        <v>23</v>
      </c>
      <c r="C2551" s="3" t="str">
        <f>"陈思琪"</f>
        <v>陈思琪</v>
      </c>
      <c r="D2551" s="3" t="str">
        <f>"女"</f>
        <v>女</v>
      </c>
      <c r="E2551" s="3" t="str">
        <f>"2507018624"</f>
        <v>2507018624</v>
      </c>
      <c r="F2551" s="3" t="str">
        <f t="shared" si="248"/>
        <v>86</v>
      </c>
      <c r="G2551" s="4" t="str">
        <f>"24"</f>
        <v>24</v>
      </c>
      <c r="H2551" s="5">
        <v>73.9</v>
      </c>
      <c r="I2551" s="3"/>
    </row>
    <row r="2552" customHeight="1" spans="1:9">
      <c r="A2552" s="3" t="str">
        <f t="shared" si="247"/>
        <v>0108</v>
      </c>
      <c r="B2552" s="3" t="s">
        <v>23</v>
      </c>
      <c r="C2552" s="3" t="str">
        <f>"盛娜"</f>
        <v>盛娜</v>
      </c>
      <c r="D2552" s="3" t="str">
        <f>"女"</f>
        <v>女</v>
      </c>
      <c r="E2552" s="3" t="str">
        <f>"2507018625"</f>
        <v>2507018625</v>
      </c>
      <c r="F2552" s="3" t="str">
        <f t="shared" si="248"/>
        <v>86</v>
      </c>
      <c r="G2552" s="4" t="str">
        <f>"25"</f>
        <v>25</v>
      </c>
      <c r="H2552" s="5">
        <v>0</v>
      </c>
      <c r="I2552" s="3" t="s">
        <v>11</v>
      </c>
    </row>
    <row r="2553" customHeight="1" spans="1:9">
      <c r="A2553" s="3" t="str">
        <f t="shared" si="247"/>
        <v>0108</v>
      </c>
      <c r="B2553" s="3" t="s">
        <v>23</v>
      </c>
      <c r="C2553" s="3" t="str">
        <f>"赵威"</f>
        <v>赵威</v>
      </c>
      <c r="D2553" s="3" t="str">
        <f>"女"</f>
        <v>女</v>
      </c>
      <c r="E2553" s="3" t="str">
        <f>"2507018701"</f>
        <v>2507018701</v>
      </c>
      <c r="F2553" s="3" t="str">
        <f t="shared" ref="F2553:F2576" si="250">"87"</f>
        <v>87</v>
      </c>
      <c r="G2553" s="4" t="str">
        <f>"01"</f>
        <v>01</v>
      </c>
      <c r="H2553" s="5">
        <v>75.5</v>
      </c>
      <c r="I2553" s="3"/>
    </row>
    <row r="2554" customHeight="1" spans="1:9">
      <c r="A2554" s="3" t="str">
        <f t="shared" si="247"/>
        <v>0108</v>
      </c>
      <c r="B2554" s="3" t="s">
        <v>23</v>
      </c>
      <c r="C2554" s="3" t="str">
        <f>"殷鸣"</f>
        <v>殷鸣</v>
      </c>
      <c r="D2554" s="3" t="str">
        <f>"男"</f>
        <v>男</v>
      </c>
      <c r="E2554" s="3" t="str">
        <f>"2507018702"</f>
        <v>2507018702</v>
      </c>
      <c r="F2554" s="3" t="str">
        <f t="shared" si="250"/>
        <v>87</v>
      </c>
      <c r="G2554" s="4" t="str">
        <f>"02"</f>
        <v>02</v>
      </c>
      <c r="H2554" s="5">
        <v>78.7</v>
      </c>
      <c r="I2554" s="3"/>
    </row>
    <row r="2555" customHeight="1" spans="1:9">
      <c r="A2555" s="3" t="str">
        <f t="shared" si="247"/>
        <v>0108</v>
      </c>
      <c r="B2555" s="3" t="s">
        <v>23</v>
      </c>
      <c r="C2555" s="3" t="str">
        <f>"李纳"</f>
        <v>李纳</v>
      </c>
      <c r="D2555" s="3" t="str">
        <f>"女"</f>
        <v>女</v>
      </c>
      <c r="E2555" s="3" t="str">
        <f>"2507018703"</f>
        <v>2507018703</v>
      </c>
      <c r="F2555" s="3" t="str">
        <f t="shared" si="250"/>
        <v>87</v>
      </c>
      <c r="G2555" s="4" t="str">
        <f>"03"</f>
        <v>03</v>
      </c>
      <c r="H2555" s="5">
        <v>81.8</v>
      </c>
      <c r="I2555" s="3"/>
    </row>
    <row r="2556" customHeight="1" spans="1:9">
      <c r="A2556" s="3" t="str">
        <f t="shared" si="247"/>
        <v>0108</v>
      </c>
      <c r="B2556" s="3" t="s">
        <v>23</v>
      </c>
      <c r="C2556" s="3" t="str">
        <f>"孟佳宾"</f>
        <v>孟佳宾</v>
      </c>
      <c r="D2556" s="3" t="str">
        <f>"女"</f>
        <v>女</v>
      </c>
      <c r="E2556" s="3" t="str">
        <f>"2507018704"</f>
        <v>2507018704</v>
      </c>
      <c r="F2556" s="3" t="str">
        <f t="shared" si="250"/>
        <v>87</v>
      </c>
      <c r="G2556" s="4" t="str">
        <f>"04"</f>
        <v>04</v>
      </c>
      <c r="H2556" s="5">
        <v>76.9</v>
      </c>
      <c r="I2556" s="3"/>
    </row>
    <row r="2557" customHeight="1" spans="1:9">
      <c r="A2557" s="3" t="str">
        <f t="shared" si="247"/>
        <v>0108</v>
      </c>
      <c r="B2557" s="3" t="s">
        <v>23</v>
      </c>
      <c r="C2557" s="3" t="str">
        <f>"叶陈希"</f>
        <v>叶陈希</v>
      </c>
      <c r="D2557" s="3" t="str">
        <f>"女"</f>
        <v>女</v>
      </c>
      <c r="E2557" s="3" t="str">
        <f>"2507018705"</f>
        <v>2507018705</v>
      </c>
      <c r="F2557" s="3" t="str">
        <f t="shared" si="250"/>
        <v>87</v>
      </c>
      <c r="G2557" s="4" t="str">
        <f>"05"</f>
        <v>05</v>
      </c>
      <c r="H2557" s="5">
        <v>79.2</v>
      </c>
      <c r="I2557" s="3"/>
    </row>
    <row r="2558" customHeight="1" spans="1:9">
      <c r="A2558" s="3" t="str">
        <f t="shared" si="247"/>
        <v>0108</v>
      </c>
      <c r="B2558" s="3" t="s">
        <v>23</v>
      </c>
      <c r="C2558" s="3" t="str">
        <f>"王丽君"</f>
        <v>王丽君</v>
      </c>
      <c r="D2558" s="3" t="str">
        <f>"女"</f>
        <v>女</v>
      </c>
      <c r="E2558" s="3" t="str">
        <f>"2507018706"</f>
        <v>2507018706</v>
      </c>
      <c r="F2558" s="3" t="str">
        <f t="shared" si="250"/>
        <v>87</v>
      </c>
      <c r="G2558" s="4" t="str">
        <f>"06"</f>
        <v>06</v>
      </c>
      <c r="H2558" s="5">
        <v>0</v>
      </c>
      <c r="I2558" s="3" t="s">
        <v>11</v>
      </c>
    </row>
    <row r="2559" customHeight="1" spans="1:9">
      <c r="A2559" s="3" t="str">
        <f t="shared" si="247"/>
        <v>0108</v>
      </c>
      <c r="B2559" s="3" t="s">
        <v>23</v>
      </c>
      <c r="C2559" s="3" t="str">
        <f>"陈慧玥"</f>
        <v>陈慧玥</v>
      </c>
      <c r="D2559" s="3" t="str">
        <f>"女"</f>
        <v>女</v>
      </c>
      <c r="E2559" s="3" t="str">
        <f>"2507018707"</f>
        <v>2507018707</v>
      </c>
      <c r="F2559" s="3" t="str">
        <f t="shared" si="250"/>
        <v>87</v>
      </c>
      <c r="G2559" s="4" t="str">
        <f>"07"</f>
        <v>07</v>
      </c>
      <c r="H2559" s="5">
        <v>73.8</v>
      </c>
      <c r="I2559" s="3"/>
    </row>
    <row r="2560" customHeight="1" spans="1:9">
      <c r="A2560" s="3" t="str">
        <f t="shared" si="247"/>
        <v>0108</v>
      </c>
      <c r="B2560" s="3" t="s">
        <v>23</v>
      </c>
      <c r="C2560" s="3" t="str">
        <f>"钱红羽"</f>
        <v>钱红羽</v>
      </c>
      <c r="D2560" s="3" t="str">
        <f>"男"</f>
        <v>男</v>
      </c>
      <c r="E2560" s="3" t="str">
        <f>"2507018708"</f>
        <v>2507018708</v>
      </c>
      <c r="F2560" s="3" t="str">
        <f t="shared" si="250"/>
        <v>87</v>
      </c>
      <c r="G2560" s="4" t="str">
        <f>"08"</f>
        <v>08</v>
      </c>
      <c r="H2560" s="5">
        <v>74.5</v>
      </c>
      <c r="I2560" s="3"/>
    </row>
    <row r="2561" customHeight="1" spans="1:9">
      <c r="A2561" s="3" t="str">
        <f t="shared" si="247"/>
        <v>0108</v>
      </c>
      <c r="B2561" s="3" t="s">
        <v>23</v>
      </c>
      <c r="C2561" s="3" t="str">
        <f>"王徐旭"</f>
        <v>王徐旭</v>
      </c>
      <c r="D2561" s="3" t="str">
        <f>"男"</f>
        <v>男</v>
      </c>
      <c r="E2561" s="3" t="str">
        <f>"2507018709"</f>
        <v>2507018709</v>
      </c>
      <c r="F2561" s="3" t="str">
        <f t="shared" si="250"/>
        <v>87</v>
      </c>
      <c r="G2561" s="4" t="str">
        <f>"09"</f>
        <v>09</v>
      </c>
      <c r="H2561" s="5">
        <v>85</v>
      </c>
      <c r="I2561" s="3"/>
    </row>
    <row r="2562" customHeight="1" spans="1:9">
      <c r="A2562" s="3" t="str">
        <f t="shared" si="247"/>
        <v>0108</v>
      </c>
      <c r="B2562" s="3" t="s">
        <v>23</v>
      </c>
      <c r="C2562" s="3" t="str">
        <f>"冯淼"</f>
        <v>冯淼</v>
      </c>
      <c r="D2562" s="3" t="str">
        <f>"女"</f>
        <v>女</v>
      </c>
      <c r="E2562" s="3" t="str">
        <f>"2507018710"</f>
        <v>2507018710</v>
      </c>
      <c r="F2562" s="3" t="str">
        <f t="shared" si="250"/>
        <v>87</v>
      </c>
      <c r="G2562" s="4" t="str">
        <f>"10"</f>
        <v>10</v>
      </c>
      <c r="H2562" s="5">
        <v>77.4</v>
      </c>
      <c r="I2562" s="3"/>
    </row>
    <row r="2563" customHeight="1" spans="1:9">
      <c r="A2563" s="3" t="str">
        <f t="shared" si="247"/>
        <v>0108</v>
      </c>
      <c r="B2563" s="3" t="s">
        <v>23</v>
      </c>
      <c r="C2563" s="3" t="str">
        <f>"周焕焕"</f>
        <v>周焕焕</v>
      </c>
      <c r="D2563" s="3" t="str">
        <f>"女"</f>
        <v>女</v>
      </c>
      <c r="E2563" s="3" t="str">
        <f>"2507018711"</f>
        <v>2507018711</v>
      </c>
      <c r="F2563" s="3" t="str">
        <f t="shared" si="250"/>
        <v>87</v>
      </c>
      <c r="G2563" s="4" t="str">
        <f>"11"</f>
        <v>11</v>
      </c>
      <c r="H2563" s="5">
        <v>73.7</v>
      </c>
      <c r="I2563" s="3"/>
    </row>
    <row r="2564" customHeight="1" spans="1:9">
      <c r="A2564" s="3" t="str">
        <f t="shared" si="247"/>
        <v>0108</v>
      </c>
      <c r="B2564" s="3" t="s">
        <v>23</v>
      </c>
      <c r="C2564" s="3" t="str">
        <f>"王涵"</f>
        <v>王涵</v>
      </c>
      <c r="D2564" s="3" t="str">
        <f>"女"</f>
        <v>女</v>
      </c>
      <c r="E2564" s="3" t="str">
        <f>"2507018712"</f>
        <v>2507018712</v>
      </c>
      <c r="F2564" s="3" t="str">
        <f t="shared" si="250"/>
        <v>87</v>
      </c>
      <c r="G2564" s="4" t="str">
        <f>"12"</f>
        <v>12</v>
      </c>
      <c r="H2564" s="5">
        <v>0</v>
      </c>
      <c r="I2564" s="3" t="s">
        <v>11</v>
      </c>
    </row>
    <row r="2565" customHeight="1" spans="1:9">
      <c r="A2565" s="3" t="str">
        <f t="shared" si="247"/>
        <v>0108</v>
      </c>
      <c r="B2565" s="3" t="s">
        <v>23</v>
      </c>
      <c r="C2565" s="3" t="str">
        <f>"吴迪"</f>
        <v>吴迪</v>
      </c>
      <c r="D2565" s="3" t="str">
        <f>"男"</f>
        <v>男</v>
      </c>
      <c r="E2565" s="3" t="str">
        <f>"2507018713"</f>
        <v>2507018713</v>
      </c>
      <c r="F2565" s="3" t="str">
        <f t="shared" si="250"/>
        <v>87</v>
      </c>
      <c r="G2565" s="4" t="str">
        <f>"13"</f>
        <v>13</v>
      </c>
      <c r="H2565" s="5">
        <v>72.6</v>
      </c>
      <c r="I2565" s="3"/>
    </row>
    <row r="2566" customHeight="1" spans="1:9">
      <c r="A2566" s="3" t="str">
        <f t="shared" si="247"/>
        <v>0108</v>
      </c>
      <c r="B2566" s="3" t="s">
        <v>23</v>
      </c>
      <c r="C2566" s="3" t="str">
        <f>"王婕"</f>
        <v>王婕</v>
      </c>
      <c r="D2566" s="3" t="str">
        <f>"女"</f>
        <v>女</v>
      </c>
      <c r="E2566" s="3" t="str">
        <f>"2507018714"</f>
        <v>2507018714</v>
      </c>
      <c r="F2566" s="3" t="str">
        <f t="shared" si="250"/>
        <v>87</v>
      </c>
      <c r="G2566" s="4" t="str">
        <f>"14"</f>
        <v>14</v>
      </c>
      <c r="H2566" s="5">
        <v>0</v>
      </c>
      <c r="I2566" s="3" t="s">
        <v>11</v>
      </c>
    </row>
    <row r="2567" customHeight="1" spans="1:9">
      <c r="A2567" s="3" t="str">
        <f t="shared" si="247"/>
        <v>0108</v>
      </c>
      <c r="B2567" s="3" t="s">
        <v>23</v>
      </c>
      <c r="C2567" s="3" t="str">
        <f>"王乙名"</f>
        <v>王乙名</v>
      </c>
      <c r="D2567" s="3" t="str">
        <f>"男"</f>
        <v>男</v>
      </c>
      <c r="E2567" s="3" t="str">
        <f>"2507018715"</f>
        <v>2507018715</v>
      </c>
      <c r="F2567" s="3" t="str">
        <f t="shared" si="250"/>
        <v>87</v>
      </c>
      <c r="G2567" s="4" t="str">
        <f>"15"</f>
        <v>15</v>
      </c>
      <c r="H2567" s="5">
        <v>0</v>
      </c>
      <c r="I2567" s="3" t="s">
        <v>11</v>
      </c>
    </row>
    <row r="2568" customHeight="1" spans="1:9">
      <c r="A2568" s="3" t="str">
        <f t="shared" si="247"/>
        <v>0108</v>
      </c>
      <c r="B2568" s="3" t="s">
        <v>23</v>
      </c>
      <c r="C2568" s="3" t="str">
        <f>"张萌"</f>
        <v>张萌</v>
      </c>
      <c r="D2568" s="3" t="str">
        <f>"女"</f>
        <v>女</v>
      </c>
      <c r="E2568" s="3" t="str">
        <f>"2507018716"</f>
        <v>2507018716</v>
      </c>
      <c r="F2568" s="3" t="str">
        <f t="shared" si="250"/>
        <v>87</v>
      </c>
      <c r="G2568" s="4" t="str">
        <f>"16"</f>
        <v>16</v>
      </c>
      <c r="H2568" s="5">
        <v>79.1</v>
      </c>
      <c r="I2568" s="3"/>
    </row>
    <row r="2569" customHeight="1" spans="1:9">
      <c r="A2569" s="3" t="str">
        <f t="shared" si="247"/>
        <v>0108</v>
      </c>
      <c r="B2569" s="3" t="s">
        <v>23</v>
      </c>
      <c r="C2569" s="3" t="str">
        <f>"田琴"</f>
        <v>田琴</v>
      </c>
      <c r="D2569" s="3" t="str">
        <f>"女"</f>
        <v>女</v>
      </c>
      <c r="E2569" s="3" t="str">
        <f>"2507018717"</f>
        <v>2507018717</v>
      </c>
      <c r="F2569" s="3" t="str">
        <f t="shared" si="250"/>
        <v>87</v>
      </c>
      <c r="G2569" s="4" t="str">
        <f>"17"</f>
        <v>17</v>
      </c>
      <c r="H2569" s="5">
        <v>0</v>
      </c>
      <c r="I2569" s="3" t="s">
        <v>11</v>
      </c>
    </row>
    <row r="2570" customHeight="1" spans="1:9">
      <c r="A2570" s="3" t="str">
        <f t="shared" si="247"/>
        <v>0108</v>
      </c>
      <c r="B2570" s="3" t="s">
        <v>23</v>
      </c>
      <c r="C2570" s="3" t="str">
        <f>"张献科"</f>
        <v>张献科</v>
      </c>
      <c r="D2570" s="3" t="str">
        <f>"男"</f>
        <v>男</v>
      </c>
      <c r="E2570" s="3" t="str">
        <f>"2507018718"</f>
        <v>2507018718</v>
      </c>
      <c r="F2570" s="3" t="str">
        <f t="shared" si="250"/>
        <v>87</v>
      </c>
      <c r="G2570" s="4" t="str">
        <f>"18"</f>
        <v>18</v>
      </c>
      <c r="H2570" s="5">
        <v>0</v>
      </c>
      <c r="I2570" s="3" t="s">
        <v>11</v>
      </c>
    </row>
    <row r="2571" customHeight="1" spans="1:9">
      <c r="A2571" s="3" t="str">
        <f t="shared" si="247"/>
        <v>0108</v>
      </c>
      <c r="B2571" s="3" t="s">
        <v>23</v>
      </c>
      <c r="C2571" s="3" t="str">
        <f>"吴楠"</f>
        <v>吴楠</v>
      </c>
      <c r="D2571" s="3" t="str">
        <f>"女"</f>
        <v>女</v>
      </c>
      <c r="E2571" s="3" t="str">
        <f>"2507018719"</f>
        <v>2507018719</v>
      </c>
      <c r="F2571" s="3" t="str">
        <f t="shared" si="250"/>
        <v>87</v>
      </c>
      <c r="G2571" s="4" t="str">
        <f>"19"</f>
        <v>19</v>
      </c>
      <c r="H2571" s="5">
        <v>72.8</v>
      </c>
      <c r="I2571" s="3"/>
    </row>
    <row r="2572" customHeight="1" spans="1:9">
      <c r="A2572" s="3" t="str">
        <f t="shared" si="247"/>
        <v>0108</v>
      </c>
      <c r="B2572" s="3" t="s">
        <v>23</v>
      </c>
      <c r="C2572" s="3" t="str">
        <f>"沈雨萱"</f>
        <v>沈雨萱</v>
      </c>
      <c r="D2572" s="3" t="str">
        <f>"女"</f>
        <v>女</v>
      </c>
      <c r="E2572" s="3" t="str">
        <f>"2507018720"</f>
        <v>2507018720</v>
      </c>
      <c r="F2572" s="3" t="str">
        <f t="shared" si="250"/>
        <v>87</v>
      </c>
      <c r="G2572" s="4" t="str">
        <f>"20"</f>
        <v>20</v>
      </c>
      <c r="H2572" s="5">
        <v>0</v>
      </c>
      <c r="I2572" s="3" t="s">
        <v>11</v>
      </c>
    </row>
    <row r="2573" customHeight="1" spans="1:9">
      <c r="A2573" s="3" t="str">
        <f t="shared" si="247"/>
        <v>0108</v>
      </c>
      <c r="B2573" s="3" t="s">
        <v>23</v>
      </c>
      <c r="C2573" s="3" t="str">
        <f>"王彦超"</f>
        <v>王彦超</v>
      </c>
      <c r="D2573" s="3" t="str">
        <f>"男"</f>
        <v>男</v>
      </c>
      <c r="E2573" s="3" t="str">
        <f>"2507018721"</f>
        <v>2507018721</v>
      </c>
      <c r="F2573" s="3" t="str">
        <f t="shared" si="250"/>
        <v>87</v>
      </c>
      <c r="G2573" s="4" t="str">
        <f>"21"</f>
        <v>21</v>
      </c>
      <c r="H2573" s="5">
        <v>0</v>
      </c>
      <c r="I2573" s="3" t="s">
        <v>11</v>
      </c>
    </row>
    <row r="2574" customHeight="1" spans="1:9">
      <c r="A2574" s="3" t="str">
        <f t="shared" si="247"/>
        <v>0108</v>
      </c>
      <c r="B2574" s="3" t="s">
        <v>23</v>
      </c>
      <c r="C2574" s="3" t="str">
        <f>"尹嘉丽"</f>
        <v>尹嘉丽</v>
      </c>
      <c r="D2574" s="3" t="str">
        <f>"女"</f>
        <v>女</v>
      </c>
      <c r="E2574" s="3" t="str">
        <f>"2507018722"</f>
        <v>2507018722</v>
      </c>
      <c r="F2574" s="3" t="str">
        <f t="shared" si="250"/>
        <v>87</v>
      </c>
      <c r="G2574" s="4" t="str">
        <f>"22"</f>
        <v>22</v>
      </c>
      <c r="H2574" s="5">
        <v>0</v>
      </c>
      <c r="I2574" s="3" t="s">
        <v>11</v>
      </c>
    </row>
    <row r="2575" customHeight="1" spans="1:9">
      <c r="A2575" s="3" t="str">
        <f t="shared" si="247"/>
        <v>0108</v>
      </c>
      <c r="B2575" s="3" t="s">
        <v>23</v>
      </c>
      <c r="C2575" s="3" t="str">
        <f>"赵令龙"</f>
        <v>赵令龙</v>
      </c>
      <c r="D2575" s="3" t="str">
        <f>"男"</f>
        <v>男</v>
      </c>
      <c r="E2575" s="3" t="str">
        <f>"2507018723"</f>
        <v>2507018723</v>
      </c>
      <c r="F2575" s="3" t="str">
        <f t="shared" si="250"/>
        <v>87</v>
      </c>
      <c r="G2575" s="4" t="str">
        <f>"23"</f>
        <v>23</v>
      </c>
      <c r="H2575" s="5">
        <v>75.6</v>
      </c>
      <c r="I2575" s="3"/>
    </row>
    <row r="2576" customHeight="1" spans="1:9">
      <c r="A2576" s="3" t="str">
        <f t="shared" si="247"/>
        <v>0108</v>
      </c>
      <c r="B2576" s="3" t="s">
        <v>23</v>
      </c>
      <c r="C2576" s="3" t="str">
        <f>"韩孟君"</f>
        <v>韩孟君</v>
      </c>
      <c r="D2576" s="3" t="str">
        <f>"女"</f>
        <v>女</v>
      </c>
      <c r="E2576" s="3" t="str">
        <f>"2507018724"</f>
        <v>2507018724</v>
      </c>
      <c r="F2576" s="3" t="str">
        <f t="shared" si="250"/>
        <v>87</v>
      </c>
      <c r="G2576" s="4" t="str">
        <f>"24"</f>
        <v>24</v>
      </c>
      <c r="H2576" s="5">
        <v>80.6</v>
      </c>
      <c r="I2576" s="3"/>
    </row>
    <row r="2577" customHeight="1" spans="1:9">
      <c r="A2577" s="3" t="str">
        <f t="shared" ref="A2577:A2600" si="251">"0125"</f>
        <v>0125</v>
      </c>
      <c r="B2577" s="3" t="s">
        <v>24</v>
      </c>
      <c r="C2577" s="3" t="str">
        <f>"李雨珊"</f>
        <v>李雨珊</v>
      </c>
      <c r="D2577" s="3" t="str">
        <f>"女"</f>
        <v>女</v>
      </c>
      <c r="E2577" s="3" t="str">
        <f>"2507018901"</f>
        <v>2507018901</v>
      </c>
      <c r="F2577" s="3" t="str">
        <f t="shared" ref="F2577:F2600" si="252">"89"</f>
        <v>89</v>
      </c>
      <c r="G2577" s="4" t="str">
        <f>"01"</f>
        <v>01</v>
      </c>
      <c r="H2577" s="5">
        <v>55</v>
      </c>
      <c r="I2577" s="3"/>
    </row>
    <row r="2578" customHeight="1" spans="1:9">
      <c r="A2578" s="3" t="str">
        <f t="shared" si="251"/>
        <v>0125</v>
      </c>
      <c r="B2578" s="3" t="s">
        <v>24</v>
      </c>
      <c r="C2578" s="3" t="str">
        <f>"褚洪汇"</f>
        <v>褚洪汇</v>
      </c>
      <c r="D2578" s="3" t="str">
        <f t="shared" ref="D2578:D2586" si="253">"男"</f>
        <v>男</v>
      </c>
      <c r="E2578" s="3" t="str">
        <f>"2507018902"</f>
        <v>2507018902</v>
      </c>
      <c r="F2578" s="3" t="str">
        <f t="shared" si="252"/>
        <v>89</v>
      </c>
      <c r="G2578" s="4" t="str">
        <f>"02"</f>
        <v>02</v>
      </c>
      <c r="H2578" s="5">
        <v>59.6</v>
      </c>
      <c r="I2578" s="3"/>
    </row>
    <row r="2579" customHeight="1" spans="1:9">
      <c r="A2579" s="3" t="str">
        <f t="shared" si="251"/>
        <v>0125</v>
      </c>
      <c r="B2579" s="3" t="s">
        <v>24</v>
      </c>
      <c r="C2579" s="3" t="str">
        <f>"魏矗"</f>
        <v>魏矗</v>
      </c>
      <c r="D2579" s="3" t="str">
        <f t="shared" si="253"/>
        <v>男</v>
      </c>
      <c r="E2579" s="3" t="str">
        <f>"2507018903"</f>
        <v>2507018903</v>
      </c>
      <c r="F2579" s="3" t="str">
        <f t="shared" si="252"/>
        <v>89</v>
      </c>
      <c r="G2579" s="4" t="str">
        <f>"03"</f>
        <v>03</v>
      </c>
      <c r="H2579" s="5">
        <v>0</v>
      </c>
      <c r="I2579" s="3" t="s">
        <v>11</v>
      </c>
    </row>
    <row r="2580" customHeight="1" spans="1:9">
      <c r="A2580" s="3" t="str">
        <f t="shared" si="251"/>
        <v>0125</v>
      </c>
      <c r="B2580" s="3" t="s">
        <v>24</v>
      </c>
      <c r="C2580" s="3" t="str">
        <f>"王若愚"</f>
        <v>王若愚</v>
      </c>
      <c r="D2580" s="3" t="str">
        <f t="shared" si="253"/>
        <v>男</v>
      </c>
      <c r="E2580" s="3" t="str">
        <f>"2507018904"</f>
        <v>2507018904</v>
      </c>
      <c r="F2580" s="3" t="str">
        <f t="shared" si="252"/>
        <v>89</v>
      </c>
      <c r="G2580" s="4" t="str">
        <f>"04"</f>
        <v>04</v>
      </c>
      <c r="H2580" s="5">
        <v>44</v>
      </c>
      <c r="I2580" s="3"/>
    </row>
    <row r="2581" customHeight="1" spans="1:9">
      <c r="A2581" s="3" t="str">
        <f t="shared" si="251"/>
        <v>0125</v>
      </c>
      <c r="B2581" s="3" t="s">
        <v>24</v>
      </c>
      <c r="C2581" s="3" t="str">
        <f>"钱金源"</f>
        <v>钱金源</v>
      </c>
      <c r="D2581" s="3" t="str">
        <f t="shared" si="253"/>
        <v>男</v>
      </c>
      <c r="E2581" s="3" t="str">
        <f>"2507018905"</f>
        <v>2507018905</v>
      </c>
      <c r="F2581" s="3" t="str">
        <f t="shared" si="252"/>
        <v>89</v>
      </c>
      <c r="G2581" s="4" t="str">
        <f>"05"</f>
        <v>05</v>
      </c>
      <c r="H2581" s="5">
        <v>43.9</v>
      </c>
      <c r="I2581" s="3"/>
    </row>
    <row r="2582" customHeight="1" spans="1:9">
      <c r="A2582" s="3" t="str">
        <f t="shared" si="251"/>
        <v>0125</v>
      </c>
      <c r="B2582" s="3" t="s">
        <v>24</v>
      </c>
      <c r="C2582" s="3" t="str">
        <f>"王若辰"</f>
        <v>王若辰</v>
      </c>
      <c r="D2582" s="3" t="str">
        <f t="shared" si="253"/>
        <v>男</v>
      </c>
      <c r="E2582" s="3" t="str">
        <f>"2507018906"</f>
        <v>2507018906</v>
      </c>
      <c r="F2582" s="3" t="str">
        <f t="shared" si="252"/>
        <v>89</v>
      </c>
      <c r="G2582" s="4" t="str">
        <f>"06"</f>
        <v>06</v>
      </c>
      <c r="H2582" s="5">
        <v>53.9</v>
      </c>
      <c r="I2582" s="3"/>
    </row>
    <row r="2583" customHeight="1" spans="1:9">
      <c r="A2583" s="3" t="str">
        <f t="shared" si="251"/>
        <v>0125</v>
      </c>
      <c r="B2583" s="3" t="s">
        <v>24</v>
      </c>
      <c r="C2583" s="3" t="str">
        <f>"何鑫龙"</f>
        <v>何鑫龙</v>
      </c>
      <c r="D2583" s="3" t="str">
        <f t="shared" si="253"/>
        <v>男</v>
      </c>
      <c r="E2583" s="3" t="str">
        <f>"2507018907"</f>
        <v>2507018907</v>
      </c>
      <c r="F2583" s="3" t="str">
        <f t="shared" si="252"/>
        <v>89</v>
      </c>
      <c r="G2583" s="4" t="str">
        <f>"07"</f>
        <v>07</v>
      </c>
      <c r="H2583" s="5">
        <v>55.7</v>
      </c>
      <c r="I2583" s="3"/>
    </row>
    <row r="2584" customHeight="1" spans="1:9">
      <c r="A2584" s="3" t="str">
        <f t="shared" si="251"/>
        <v>0125</v>
      </c>
      <c r="B2584" s="3" t="s">
        <v>24</v>
      </c>
      <c r="C2584" s="3" t="str">
        <f>"石拓"</f>
        <v>石拓</v>
      </c>
      <c r="D2584" s="3" t="str">
        <f t="shared" si="253"/>
        <v>男</v>
      </c>
      <c r="E2584" s="3" t="str">
        <f>"2507018908"</f>
        <v>2507018908</v>
      </c>
      <c r="F2584" s="3" t="str">
        <f t="shared" si="252"/>
        <v>89</v>
      </c>
      <c r="G2584" s="4" t="str">
        <f>"08"</f>
        <v>08</v>
      </c>
      <c r="H2584" s="5">
        <v>0</v>
      </c>
      <c r="I2584" s="3" t="s">
        <v>11</v>
      </c>
    </row>
    <row r="2585" customHeight="1" spans="1:9">
      <c r="A2585" s="3" t="str">
        <f t="shared" si="251"/>
        <v>0125</v>
      </c>
      <c r="B2585" s="3" t="s">
        <v>24</v>
      </c>
      <c r="C2585" s="3" t="str">
        <f>"孙川"</f>
        <v>孙川</v>
      </c>
      <c r="D2585" s="3" t="str">
        <f t="shared" si="253"/>
        <v>男</v>
      </c>
      <c r="E2585" s="3" t="str">
        <f>"2507018909"</f>
        <v>2507018909</v>
      </c>
      <c r="F2585" s="3" t="str">
        <f t="shared" si="252"/>
        <v>89</v>
      </c>
      <c r="G2585" s="4" t="str">
        <f>"09"</f>
        <v>09</v>
      </c>
      <c r="H2585" s="5">
        <v>0</v>
      </c>
      <c r="I2585" s="3" t="s">
        <v>11</v>
      </c>
    </row>
    <row r="2586" customHeight="1" spans="1:9">
      <c r="A2586" s="3" t="str">
        <f t="shared" si="251"/>
        <v>0125</v>
      </c>
      <c r="B2586" s="3" t="s">
        <v>24</v>
      </c>
      <c r="C2586" s="3" t="str">
        <f>"田臣夕"</f>
        <v>田臣夕</v>
      </c>
      <c r="D2586" s="3" t="str">
        <f t="shared" si="253"/>
        <v>男</v>
      </c>
      <c r="E2586" s="3" t="str">
        <f>"2507018910"</f>
        <v>2507018910</v>
      </c>
      <c r="F2586" s="3" t="str">
        <f t="shared" si="252"/>
        <v>89</v>
      </c>
      <c r="G2586" s="4" t="str">
        <f>"10"</f>
        <v>10</v>
      </c>
      <c r="H2586" s="5">
        <v>62</v>
      </c>
      <c r="I2586" s="3"/>
    </row>
    <row r="2587" customHeight="1" spans="1:9">
      <c r="A2587" s="3" t="str">
        <f t="shared" si="251"/>
        <v>0125</v>
      </c>
      <c r="B2587" s="3" t="s">
        <v>24</v>
      </c>
      <c r="C2587" s="3" t="str">
        <f>"张亚茹"</f>
        <v>张亚茹</v>
      </c>
      <c r="D2587" s="3" t="str">
        <f>"女"</f>
        <v>女</v>
      </c>
      <c r="E2587" s="3" t="str">
        <f>"2507018911"</f>
        <v>2507018911</v>
      </c>
      <c r="F2587" s="3" t="str">
        <f t="shared" si="252"/>
        <v>89</v>
      </c>
      <c r="G2587" s="4" t="str">
        <f>"11"</f>
        <v>11</v>
      </c>
      <c r="H2587" s="5">
        <v>59.1</v>
      </c>
      <c r="I2587" s="3"/>
    </row>
    <row r="2588" customHeight="1" spans="1:9">
      <c r="A2588" s="3" t="str">
        <f t="shared" si="251"/>
        <v>0125</v>
      </c>
      <c r="B2588" s="3" t="s">
        <v>24</v>
      </c>
      <c r="C2588" s="3" t="str">
        <f>"陈庆港"</f>
        <v>陈庆港</v>
      </c>
      <c r="D2588" s="3" t="str">
        <f>"男"</f>
        <v>男</v>
      </c>
      <c r="E2588" s="3" t="str">
        <f>"2507018912"</f>
        <v>2507018912</v>
      </c>
      <c r="F2588" s="3" t="str">
        <f t="shared" si="252"/>
        <v>89</v>
      </c>
      <c r="G2588" s="4" t="str">
        <f>"12"</f>
        <v>12</v>
      </c>
      <c r="H2588" s="5">
        <v>62.2</v>
      </c>
      <c r="I2588" s="3"/>
    </row>
    <row r="2589" customHeight="1" spans="1:9">
      <c r="A2589" s="3" t="str">
        <f t="shared" si="251"/>
        <v>0125</v>
      </c>
      <c r="B2589" s="3" t="s">
        <v>24</v>
      </c>
      <c r="C2589" s="3" t="str">
        <f>"王宗跃"</f>
        <v>王宗跃</v>
      </c>
      <c r="D2589" s="3" t="str">
        <f>"男"</f>
        <v>男</v>
      </c>
      <c r="E2589" s="3" t="str">
        <f>"2507018913"</f>
        <v>2507018913</v>
      </c>
      <c r="F2589" s="3" t="str">
        <f t="shared" si="252"/>
        <v>89</v>
      </c>
      <c r="G2589" s="4" t="str">
        <f>"13"</f>
        <v>13</v>
      </c>
      <c r="H2589" s="5">
        <v>0</v>
      </c>
      <c r="I2589" s="3" t="s">
        <v>11</v>
      </c>
    </row>
    <row r="2590" customHeight="1" spans="1:9">
      <c r="A2590" s="3" t="str">
        <f t="shared" si="251"/>
        <v>0125</v>
      </c>
      <c r="B2590" s="3" t="s">
        <v>24</v>
      </c>
      <c r="C2590" s="3" t="str">
        <f>"唐涛"</f>
        <v>唐涛</v>
      </c>
      <c r="D2590" s="3" t="str">
        <f>"男"</f>
        <v>男</v>
      </c>
      <c r="E2590" s="3" t="str">
        <f>"2507018914"</f>
        <v>2507018914</v>
      </c>
      <c r="F2590" s="3" t="str">
        <f t="shared" si="252"/>
        <v>89</v>
      </c>
      <c r="G2590" s="4" t="str">
        <f>"14"</f>
        <v>14</v>
      </c>
      <c r="H2590" s="5">
        <v>50.7</v>
      </c>
      <c r="I2590" s="3"/>
    </row>
    <row r="2591" customHeight="1" spans="1:9">
      <c r="A2591" s="3" t="str">
        <f t="shared" si="251"/>
        <v>0125</v>
      </c>
      <c r="B2591" s="3" t="s">
        <v>24</v>
      </c>
      <c r="C2591" s="3" t="str">
        <f>"吴一晨"</f>
        <v>吴一晨</v>
      </c>
      <c r="D2591" s="3" t="str">
        <f>"男"</f>
        <v>男</v>
      </c>
      <c r="E2591" s="3" t="str">
        <f>"2507018915"</f>
        <v>2507018915</v>
      </c>
      <c r="F2591" s="3" t="str">
        <f t="shared" si="252"/>
        <v>89</v>
      </c>
      <c r="G2591" s="4" t="str">
        <f>"15"</f>
        <v>15</v>
      </c>
      <c r="H2591" s="5">
        <v>48.6</v>
      </c>
      <c r="I2591" s="3"/>
    </row>
    <row r="2592" customHeight="1" spans="1:9">
      <c r="A2592" s="3" t="str">
        <f t="shared" si="251"/>
        <v>0125</v>
      </c>
      <c r="B2592" s="3" t="s">
        <v>24</v>
      </c>
      <c r="C2592" s="3" t="str">
        <f>"郝瑞华"</f>
        <v>郝瑞华</v>
      </c>
      <c r="D2592" s="3" t="str">
        <f>"女"</f>
        <v>女</v>
      </c>
      <c r="E2592" s="3" t="str">
        <f>"2507018916"</f>
        <v>2507018916</v>
      </c>
      <c r="F2592" s="3" t="str">
        <f t="shared" si="252"/>
        <v>89</v>
      </c>
      <c r="G2592" s="4" t="str">
        <f>"16"</f>
        <v>16</v>
      </c>
      <c r="H2592" s="5">
        <v>61</v>
      </c>
      <c r="I2592" s="3"/>
    </row>
    <row r="2593" customHeight="1" spans="1:9">
      <c r="A2593" s="3" t="str">
        <f t="shared" si="251"/>
        <v>0125</v>
      </c>
      <c r="B2593" s="3" t="s">
        <v>24</v>
      </c>
      <c r="C2593" s="3" t="str">
        <f>"李文强"</f>
        <v>李文强</v>
      </c>
      <c r="D2593" s="3" t="str">
        <f>"男"</f>
        <v>男</v>
      </c>
      <c r="E2593" s="3" t="str">
        <f>"2507018917"</f>
        <v>2507018917</v>
      </c>
      <c r="F2593" s="3" t="str">
        <f t="shared" si="252"/>
        <v>89</v>
      </c>
      <c r="G2593" s="4" t="str">
        <f>"17"</f>
        <v>17</v>
      </c>
      <c r="H2593" s="5">
        <v>0</v>
      </c>
      <c r="I2593" s="3" t="s">
        <v>11</v>
      </c>
    </row>
    <row r="2594" customHeight="1" spans="1:9">
      <c r="A2594" s="3" t="str">
        <f t="shared" si="251"/>
        <v>0125</v>
      </c>
      <c r="B2594" s="3" t="s">
        <v>24</v>
      </c>
      <c r="C2594" s="3" t="str">
        <f>"吴天琦"</f>
        <v>吴天琦</v>
      </c>
      <c r="D2594" s="3" t="str">
        <f>"男"</f>
        <v>男</v>
      </c>
      <c r="E2594" s="3" t="str">
        <f>"2507018918"</f>
        <v>2507018918</v>
      </c>
      <c r="F2594" s="3" t="str">
        <f t="shared" si="252"/>
        <v>89</v>
      </c>
      <c r="G2594" s="4" t="str">
        <f>"18"</f>
        <v>18</v>
      </c>
      <c r="H2594" s="5">
        <v>56.8</v>
      </c>
      <c r="I2594" s="3"/>
    </row>
    <row r="2595" customHeight="1" spans="1:9">
      <c r="A2595" s="3" t="str">
        <f t="shared" si="251"/>
        <v>0125</v>
      </c>
      <c r="B2595" s="3" t="s">
        <v>24</v>
      </c>
      <c r="C2595" s="3" t="str">
        <f>"刘昕宇"</f>
        <v>刘昕宇</v>
      </c>
      <c r="D2595" s="3" t="str">
        <f>"女"</f>
        <v>女</v>
      </c>
      <c r="E2595" s="3" t="str">
        <f>"2507018919"</f>
        <v>2507018919</v>
      </c>
      <c r="F2595" s="3" t="str">
        <f t="shared" si="252"/>
        <v>89</v>
      </c>
      <c r="G2595" s="4" t="str">
        <f>"19"</f>
        <v>19</v>
      </c>
      <c r="H2595" s="5">
        <v>57.2</v>
      </c>
      <c r="I2595" s="3"/>
    </row>
    <row r="2596" customHeight="1" spans="1:9">
      <c r="A2596" s="3" t="str">
        <f t="shared" si="251"/>
        <v>0125</v>
      </c>
      <c r="B2596" s="3" t="s">
        <v>24</v>
      </c>
      <c r="C2596" s="3" t="str">
        <f>"李曦"</f>
        <v>李曦</v>
      </c>
      <c r="D2596" s="3" t="str">
        <f>"女"</f>
        <v>女</v>
      </c>
      <c r="E2596" s="3" t="str">
        <f>"2507018920"</f>
        <v>2507018920</v>
      </c>
      <c r="F2596" s="3" t="str">
        <f t="shared" si="252"/>
        <v>89</v>
      </c>
      <c r="G2596" s="4" t="str">
        <f>"20"</f>
        <v>20</v>
      </c>
      <c r="H2596" s="5">
        <v>55</v>
      </c>
      <c r="I2596" s="3"/>
    </row>
    <row r="2597" customHeight="1" spans="1:9">
      <c r="A2597" s="3" t="str">
        <f t="shared" si="251"/>
        <v>0125</v>
      </c>
      <c r="B2597" s="3" t="s">
        <v>24</v>
      </c>
      <c r="C2597" s="3" t="str">
        <f>"张艳玲"</f>
        <v>张艳玲</v>
      </c>
      <c r="D2597" s="3" t="str">
        <f>"女"</f>
        <v>女</v>
      </c>
      <c r="E2597" s="3" t="str">
        <f>"2507018921"</f>
        <v>2507018921</v>
      </c>
      <c r="F2597" s="3" t="str">
        <f t="shared" si="252"/>
        <v>89</v>
      </c>
      <c r="G2597" s="4" t="str">
        <f>"21"</f>
        <v>21</v>
      </c>
      <c r="H2597" s="5">
        <v>0</v>
      </c>
      <c r="I2597" s="3" t="s">
        <v>11</v>
      </c>
    </row>
    <row r="2598" customHeight="1" spans="1:9">
      <c r="A2598" s="3" t="str">
        <f t="shared" si="251"/>
        <v>0125</v>
      </c>
      <c r="B2598" s="3" t="s">
        <v>24</v>
      </c>
      <c r="C2598" s="3" t="str">
        <f>"马世伟"</f>
        <v>马世伟</v>
      </c>
      <c r="D2598" s="3" t="str">
        <f>"男"</f>
        <v>男</v>
      </c>
      <c r="E2598" s="3" t="str">
        <f>"2507018922"</f>
        <v>2507018922</v>
      </c>
      <c r="F2598" s="3" t="str">
        <f t="shared" si="252"/>
        <v>89</v>
      </c>
      <c r="G2598" s="4" t="str">
        <f>"22"</f>
        <v>22</v>
      </c>
      <c r="H2598" s="5">
        <v>0</v>
      </c>
      <c r="I2598" s="3" t="s">
        <v>11</v>
      </c>
    </row>
    <row r="2599" customHeight="1" spans="1:9">
      <c r="A2599" s="3" t="str">
        <f t="shared" si="251"/>
        <v>0125</v>
      </c>
      <c r="B2599" s="3" t="s">
        <v>24</v>
      </c>
      <c r="C2599" s="3" t="str">
        <f>"李科林"</f>
        <v>李科林</v>
      </c>
      <c r="D2599" s="3" t="str">
        <f>"男"</f>
        <v>男</v>
      </c>
      <c r="E2599" s="3" t="str">
        <f>"2507018923"</f>
        <v>2507018923</v>
      </c>
      <c r="F2599" s="3" t="str">
        <f t="shared" si="252"/>
        <v>89</v>
      </c>
      <c r="G2599" s="4" t="str">
        <f>"23"</f>
        <v>23</v>
      </c>
      <c r="H2599" s="5">
        <v>0</v>
      </c>
      <c r="I2599" s="3" t="s">
        <v>11</v>
      </c>
    </row>
    <row r="2600" customHeight="1" spans="1:9">
      <c r="A2600" s="3" t="str">
        <f t="shared" si="251"/>
        <v>0125</v>
      </c>
      <c r="B2600" s="3" t="s">
        <v>24</v>
      </c>
      <c r="C2600" s="3" t="str">
        <f>"杨道华"</f>
        <v>杨道华</v>
      </c>
      <c r="D2600" s="3" t="str">
        <f>"男"</f>
        <v>男</v>
      </c>
      <c r="E2600" s="3" t="str">
        <f>"2507018924"</f>
        <v>2507018924</v>
      </c>
      <c r="F2600" s="3" t="str">
        <f t="shared" si="252"/>
        <v>89</v>
      </c>
      <c r="G2600" s="4" t="str">
        <f>"24"</f>
        <v>24</v>
      </c>
      <c r="H2600" s="5">
        <v>56.6</v>
      </c>
      <c r="I2600" s="3"/>
    </row>
    <row r="2601" customHeight="1" spans="1:9">
      <c r="A2601" s="3" t="str">
        <f t="shared" ref="A2601:A2619" si="254">"0121"</f>
        <v>0121</v>
      </c>
      <c r="B2601" s="3" t="s">
        <v>25</v>
      </c>
      <c r="C2601" s="3" t="str">
        <f>"闫淑光"</f>
        <v>闫淑光</v>
      </c>
      <c r="D2601" s="3" t="str">
        <f t="shared" ref="D2601:D2607" si="255">"女"</f>
        <v>女</v>
      </c>
      <c r="E2601" s="3" t="str">
        <f>"2507019001"</f>
        <v>2507019001</v>
      </c>
      <c r="F2601" s="3" t="str">
        <f t="shared" ref="F2601:F2619" si="256">"90"</f>
        <v>90</v>
      </c>
      <c r="G2601" s="4" t="str">
        <f>"01"</f>
        <v>01</v>
      </c>
      <c r="H2601" s="5">
        <v>0</v>
      </c>
      <c r="I2601" s="3" t="s">
        <v>11</v>
      </c>
    </row>
    <row r="2602" customHeight="1" spans="1:9">
      <c r="A2602" s="3" t="str">
        <f t="shared" si="254"/>
        <v>0121</v>
      </c>
      <c r="B2602" s="3" t="s">
        <v>25</v>
      </c>
      <c r="C2602" s="3" t="str">
        <f>"翟利晴"</f>
        <v>翟利晴</v>
      </c>
      <c r="D2602" s="3" t="str">
        <f t="shared" si="255"/>
        <v>女</v>
      </c>
      <c r="E2602" s="3" t="str">
        <f>"2507019002"</f>
        <v>2507019002</v>
      </c>
      <c r="F2602" s="3" t="str">
        <f t="shared" si="256"/>
        <v>90</v>
      </c>
      <c r="G2602" s="4" t="str">
        <f>"02"</f>
        <v>02</v>
      </c>
      <c r="H2602" s="5">
        <v>0</v>
      </c>
      <c r="I2602" s="3" t="s">
        <v>11</v>
      </c>
    </row>
    <row r="2603" customHeight="1" spans="1:9">
      <c r="A2603" s="3" t="str">
        <f t="shared" si="254"/>
        <v>0121</v>
      </c>
      <c r="B2603" s="3" t="s">
        <v>25</v>
      </c>
      <c r="C2603" s="3" t="str">
        <f>"赵甜甜"</f>
        <v>赵甜甜</v>
      </c>
      <c r="D2603" s="3" t="str">
        <f t="shared" si="255"/>
        <v>女</v>
      </c>
      <c r="E2603" s="3" t="str">
        <f>"2507019003"</f>
        <v>2507019003</v>
      </c>
      <c r="F2603" s="3" t="str">
        <f t="shared" si="256"/>
        <v>90</v>
      </c>
      <c r="G2603" s="4" t="str">
        <f>"03"</f>
        <v>03</v>
      </c>
      <c r="H2603" s="5">
        <v>73.5</v>
      </c>
      <c r="I2603" s="3"/>
    </row>
    <row r="2604" customHeight="1" spans="1:9">
      <c r="A2604" s="3" t="str">
        <f t="shared" si="254"/>
        <v>0121</v>
      </c>
      <c r="B2604" s="3" t="s">
        <v>25</v>
      </c>
      <c r="C2604" s="3" t="str">
        <f>"张雅洁"</f>
        <v>张雅洁</v>
      </c>
      <c r="D2604" s="3" t="str">
        <f t="shared" si="255"/>
        <v>女</v>
      </c>
      <c r="E2604" s="3" t="str">
        <f>"2507019004"</f>
        <v>2507019004</v>
      </c>
      <c r="F2604" s="3" t="str">
        <f t="shared" si="256"/>
        <v>90</v>
      </c>
      <c r="G2604" s="4" t="str">
        <f>"04"</f>
        <v>04</v>
      </c>
      <c r="H2604" s="5">
        <v>67</v>
      </c>
      <c r="I2604" s="3"/>
    </row>
    <row r="2605" customHeight="1" spans="1:9">
      <c r="A2605" s="3" t="str">
        <f t="shared" si="254"/>
        <v>0121</v>
      </c>
      <c r="B2605" s="3" t="s">
        <v>25</v>
      </c>
      <c r="C2605" s="3" t="str">
        <f>"王嫚嫚"</f>
        <v>王嫚嫚</v>
      </c>
      <c r="D2605" s="3" t="str">
        <f t="shared" si="255"/>
        <v>女</v>
      </c>
      <c r="E2605" s="3" t="str">
        <f>"2507019005"</f>
        <v>2507019005</v>
      </c>
      <c r="F2605" s="3" t="str">
        <f t="shared" si="256"/>
        <v>90</v>
      </c>
      <c r="G2605" s="4" t="str">
        <f>"05"</f>
        <v>05</v>
      </c>
      <c r="H2605" s="5">
        <v>45.5</v>
      </c>
      <c r="I2605" s="3"/>
    </row>
    <row r="2606" customHeight="1" spans="1:9">
      <c r="A2606" s="3" t="str">
        <f t="shared" si="254"/>
        <v>0121</v>
      </c>
      <c r="B2606" s="3" t="s">
        <v>25</v>
      </c>
      <c r="C2606" s="3" t="str">
        <f>"孙悦"</f>
        <v>孙悦</v>
      </c>
      <c r="D2606" s="3" t="str">
        <f t="shared" si="255"/>
        <v>女</v>
      </c>
      <c r="E2606" s="3" t="str">
        <f>"2507019006"</f>
        <v>2507019006</v>
      </c>
      <c r="F2606" s="3" t="str">
        <f t="shared" si="256"/>
        <v>90</v>
      </c>
      <c r="G2606" s="4" t="str">
        <f>"06"</f>
        <v>06</v>
      </c>
      <c r="H2606" s="5">
        <v>0</v>
      </c>
      <c r="I2606" s="3" t="s">
        <v>11</v>
      </c>
    </row>
    <row r="2607" customHeight="1" spans="1:9">
      <c r="A2607" s="3" t="str">
        <f t="shared" si="254"/>
        <v>0121</v>
      </c>
      <c r="B2607" s="3" t="s">
        <v>25</v>
      </c>
      <c r="C2607" s="3" t="str">
        <f>"李盈洁"</f>
        <v>李盈洁</v>
      </c>
      <c r="D2607" s="3" t="str">
        <f t="shared" si="255"/>
        <v>女</v>
      </c>
      <c r="E2607" s="3" t="str">
        <f>"2507019007"</f>
        <v>2507019007</v>
      </c>
      <c r="F2607" s="3" t="str">
        <f t="shared" si="256"/>
        <v>90</v>
      </c>
      <c r="G2607" s="4" t="str">
        <f>"07"</f>
        <v>07</v>
      </c>
      <c r="H2607" s="5">
        <v>0</v>
      </c>
      <c r="I2607" s="3" t="s">
        <v>11</v>
      </c>
    </row>
    <row r="2608" customHeight="1" spans="1:9">
      <c r="A2608" s="3" t="str">
        <f t="shared" si="254"/>
        <v>0121</v>
      </c>
      <c r="B2608" s="3" t="s">
        <v>25</v>
      </c>
      <c r="C2608" s="3" t="str">
        <f>"杜宇恒"</f>
        <v>杜宇恒</v>
      </c>
      <c r="D2608" s="3" t="str">
        <f>"男"</f>
        <v>男</v>
      </c>
      <c r="E2608" s="3" t="str">
        <f>"2507019008"</f>
        <v>2507019008</v>
      </c>
      <c r="F2608" s="3" t="str">
        <f t="shared" si="256"/>
        <v>90</v>
      </c>
      <c r="G2608" s="4" t="str">
        <f>"08"</f>
        <v>08</v>
      </c>
      <c r="H2608" s="5">
        <v>0</v>
      </c>
      <c r="I2608" s="3" t="s">
        <v>11</v>
      </c>
    </row>
    <row r="2609" customHeight="1" spans="1:9">
      <c r="A2609" s="3" t="str">
        <f t="shared" si="254"/>
        <v>0121</v>
      </c>
      <c r="B2609" s="3" t="s">
        <v>25</v>
      </c>
      <c r="C2609" s="3" t="str">
        <f>"罗西月"</f>
        <v>罗西月</v>
      </c>
      <c r="D2609" s="3" t="str">
        <f t="shared" ref="D2609:D2615" si="257">"女"</f>
        <v>女</v>
      </c>
      <c r="E2609" s="3" t="str">
        <f>"2507019009"</f>
        <v>2507019009</v>
      </c>
      <c r="F2609" s="3" t="str">
        <f t="shared" si="256"/>
        <v>90</v>
      </c>
      <c r="G2609" s="4" t="str">
        <f>"09"</f>
        <v>09</v>
      </c>
      <c r="H2609" s="5">
        <v>0</v>
      </c>
      <c r="I2609" s="3" t="s">
        <v>11</v>
      </c>
    </row>
    <row r="2610" customHeight="1" spans="1:9">
      <c r="A2610" s="3" t="str">
        <f t="shared" si="254"/>
        <v>0121</v>
      </c>
      <c r="B2610" s="3" t="s">
        <v>25</v>
      </c>
      <c r="C2610" s="3" t="str">
        <f>"谢岩"</f>
        <v>谢岩</v>
      </c>
      <c r="D2610" s="3" t="str">
        <f t="shared" si="257"/>
        <v>女</v>
      </c>
      <c r="E2610" s="3" t="str">
        <f>"2507019010"</f>
        <v>2507019010</v>
      </c>
      <c r="F2610" s="3" t="str">
        <f t="shared" si="256"/>
        <v>90</v>
      </c>
      <c r="G2610" s="4" t="str">
        <f>"10"</f>
        <v>10</v>
      </c>
      <c r="H2610" s="5">
        <v>46.5</v>
      </c>
      <c r="I2610" s="3"/>
    </row>
    <row r="2611" customHeight="1" spans="1:9">
      <c r="A2611" s="3" t="str">
        <f t="shared" si="254"/>
        <v>0121</v>
      </c>
      <c r="B2611" s="3" t="s">
        <v>25</v>
      </c>
      <c r="C2611" s="3" t="str">
        <f>"谭钰璐"</f>
        <v>谭钰璐</v>
      </c>
      <c r="D2611" s="3" t="str">
        <f t="shared" si="257"/>
        <v>女</v>
      </c>
      <c r="E2611" s="3" t="str">
        <f>"2507019011"</f>
        <v>2507019011</v>
      </c>
      <c r="F2611" s="3" t="str">
        <f t="shared" si="256"/>
        <v>90</v>
      </c>
      <c r="G2611" s="4" t="str">
        <f>"11"</f>
        <v>11</v>
      </c>
      <c r="H2611" s="5">
        <v>0</v>
      </c>
      <c r="I2611" s="3" t="s">
        <v>11</v>
      </c>
    </row>
    <row r="2612" customHeight="1" spans="1:9">
      <c r="A2612" s="3" t="str">
        <f t="shared" si="254"/>
        <v>0121</v>
      </c>
      <c r="B2612" s="3" t="s">
        <v>25</v>
      </c>
      <c r="C2612" s="3" t="str">
        <f>"李凯"</f>
        <v>李凯</v>
      </c>
      <c r="D2612" s="3" t="str">
        <f t="shared" si="257"/>
        <v>女</v>
      </c>
      <c r="E2612" s="3" t="str">
        <f>"2507019012"</f>
        <v>2507019012</v>
      </c>
      <c r="F2612" s="3" t="str">
        <f t="shared" si="256"/>
        <v>90</v>
      </c>
      <c r="G2612" s="4" t="str">
        <f>"12"</f>
        <v>12</v>
      </c>
      <c r="H2612" s="5">
        <v>53.5</v>
      </c>
      <c r="I2612" s="3"/>
    </row>
    <row r="2613" customHeight="1" spans="1:9">
      <c r="A2613" s="3" t="str">
        <f t="shared" si="254"/>
        <v>0121</v>
      </c>
      <c r="B2613" s="3" t="s">
        <v>25</v>
      </c>
      <c r="C2613" s="3" t="str">
        <f>"杨雨婷"</f>
        <v>杨雨婷</v>
      </c>
      <c r="D2613" s="3" t="str">
        <f t="shared" si="257"/>
        <v>女</v>
      </c>
      <c r="E2613" s="3" t="str">
        <f>"2507019013"</f>
        <v>2507019013</v>
      </c>
      <c r="F2613" s="3" t="str">
        <f t="shared" si="256"/>
        <v>90</v>
      </c>
      <c r="G2613" s="4" t="str">
        <f>"13"</f>
        <v>13</v>
      </c>
      <c r="H2613" s="5">
        <v>59</v>
      </c>
      <c r="I2613" s="3"/>
    </row>
    <row r="2614" customHeight="1" spans="1:9">
      <c r="A2614" s="3" t="str">
        <f t="shared" si="254"/>
        <v>0121</v>
      </c>
      <c r="B2614" s="3" t="s">
        <v>25</v>
      </c>
      <c r="C2614" s="3" t="str">
        <f>"肖竞媛"</f>
        <v>肖竞媛</v>
      </c>
      <c r="D2614" s="3" t="str">
        <f t="shared" si="257"/>
        <v>女</v>
      </c>
      <c r="E2614" s="3" t="str">
        <f>"2507019014"</f>
        <v>2507019014</v>
      </c>
      <c r="F2614" s="3" t="str">
        <f t="shared" si="256"/>
        <v>90</v>
      </c>
      <c r="G2614" s="4" t="str">
        <f>"14"</f>
        <v>14</v>
      </c>
      <c r="H2614" s="5">
        <v>71.5</v>
      </c>
      <c r="I2614" s="3"/>
    </row>
    <row r="2615" customHeight="1" spans="1:9">
      <c r="A2615" s="3" t="str">
        <f t="shared" si="254"/>
        <v>0121</v>
      </c>
      <c r="B2615" s="3" t="s">
        <v>25</v>
      </c>
      <c r="C2615" s="3" t="str">
        <f>"邴锦绣"</f>
        <v>邴锦绣</v>
      </c>
      <c r="D2615" s="3" t="str">
        <f t="shared" si="257"/>
        <v>女</v>
      </c>
      <c r="E2615" s="3" t="str">
        <f>"2507019015"</f>
        <v>2507019015</v>
      </c>
      <c r="F2615" s="3" t="str">
        <f t="shared" si="256"/>
        <v>90</v>
      </c>
      <c r="G2615" s="4" t="str">
        <f>"15"</f>
        <v>15</v>
      </c>
      <c r="H2615" s="5">
        <v>65.5</v>
      </c>
      <c r="I2615" s="3"/>
    </row>
    <row r="2616" customHeight="1" spans="1:9">
      <c r="A2616" s="3" t="str">
        <f t="shared" si="254"/>
        <v>0121</v>
      </c>
      <c r="B2616" s="3" t="s">
        <v>25</v>
      </c>
      <c r="C2616" s="3" t="str">
        <f>"高歌"</f>
        <v>高歌</v>
      </c>
      <c r="D2616" s="3" t="str">
        <f>"男"</f>
        <v>男</v>
      </c>
      <c r="E2616" s="3" t="str">
        <f>"2507019016"</f>
        <v>2507019016</v>
      </c>
      <c r="F2616" s="3" t="str">
        <f t="shared" si="256"/>
        <v>90</v>
      </c>
      <c r="G2616" s="4" t="str">
        <f>"16"</f>
        <v>16</v>
      </c>
      <c r="H2616" s="5">
        <v>73.5</v>
      </c>
      <c r="I2616" s="3"/>
    </row>
    <row r="2617" customHeight="1" spans="1:9">
      <c r="A2617" s="3" t="str">
        <f t="shared" si="254"/>
        <v>0121</v>
      </c>
      <c r="B2617" s="3" t="s">
        <v>25</v>
      </c>
      <c r="C2617" s="3" t="str">
        <f>"米雪"</f>
        <v>米雪</v>
      </c>
      <c r="D2617" s="3" t="str">
        <f>"女"</f>
        <v>女</v>
      </c>
      <c r="E2617" s="3" t="str">
        <f>"2507019017"</f>
        <v>2507019017</v>
      </c>
      <c r="F2617" s="3" t="str">
        <f t="shared" si="256"/>
        <v>90</v>
      </c>
      <c r="G2617" s="4" t="str">
        <f>"17"</f>
        <v>17</v>
      </c>
      <c r="H2617" s="5">
        <v>67.5</v>
      </c>
      <c r="I2617" s="3"/>
    </row>
    <row r="2618" customHeight="1" spans="1:9">
      <c r="A2618" s="3" t="str">
        <f t="shared" si="254"/>
        <v>0121</v>
      </c>
      <c r="B2618" s="3" t="s">
        <v>25</v>
      </c>
      <c r="C2618" s="3" t="str">
        <f>"马晓伟"</f>
        <v>马晓伟</v>
      </c>
      <c r="D2618" s="3" t="str">
        <f>"男"</f>
        <v>男</v>
      </c>
      <c r="E2618" s="3" t="str">
        <f>"2507019018"</f>
        <v>2507019018</v>
      </c>
      <c r="F2618" s="3" t="str">
        <f t="shared" si="256"/>
        <v>90</v>
      </c>
      <c r="G2618" s="4" t="str">
        <f>"18"</f>
        <v>18</v>
      </c>
      <c r="H2618" s="5">
        <v>70.5</v>
      </c>
      <c r="I2618" s="3"/>
    </row>
    <row r="2619" customHeight="1" spans="1:9">
      <c r="A2619" s="3" t="str">
        <f t="shared" si="254"/>
        <v>0121</v>
      </c>
      <c r="B2619" s="3" t="s">
        <v>25</v>
      </c>
      <c r="C2619" s="3" t="str">
        <f>"胡静"</f>
        <v>胡静</v>
      </c>
      <c r="D2619" s="3" t="str">
        <f>"女"</f>
        <v>女</v>
      </c>
      <c r="E2619" s="3" t="str">
        <f>"2507019019"</f>
        <v>2507019019</v>
      </c>
      <c r="F2619" s="3" t="str">
        <f t="shared" si="256"/>
        <v>90</v>
      </c>
      <c r="G2619" s="4" t="str">
        <f>"19"</f>
        <v>19</v>
      </c>
      <c r="H2619" s="5">
        <v>0</v>
      </c>
      <c r="I2619" s="3" t="s">
        <v>11</v>
      </c>
    </row>
    <row r="2620" customHeight="1" spans="1:9">
      <c r="A2620" s="3" t="str">
        <f t="shared" ref="A2620:A2637" si="258">"0122"</f>
        <v>0122</v>
      </c>
      <c r="B2620" s="3" t="s">
        <v>26</v>
      </c>
      <c r="C2620" s="3" t="str">
        <f>"刘伟"</f>
        <v>刘伟</v>
      </c>
      <c r="D2620" s="3" t="str">
        <f t="shared" ref="D2620:D2627" si="259">"男"</f>
        <v>男</v>
      </c>
      <c r="E2620" s="3" t="str">
        <f>"2507019101"</f>
        <v>2507019101</v>
      </c>
      <c r="F2620" s="3" t="str">
        <f t="shared" ref="F2620:F2637" si="260">"91"</f>
        <v>91</v>
      </c>
      <c r="G2620" s="4" t="str">
        <f>"01"</f>
        <v>01</v>
      </c>
      <c r="H2620" s="5">
        <v>0</v>
      </c>
      <c r="I2620" s="3" t="s">
        <v>11</v>
      </c>
    </row>
    <row r="2621" customHeight="1" spans="1:9">
      <c r="A2621" s="3" t="str">
        <f t="shared" si="258"/>
        <v>0122</v>
      </c>
      <c r="B2621" s="3" t="s">
        <v>26</v>
      </c>
      <c r="C2621" s="3" t="str">
        <f>"朱保军"</f>
        <v>朱保军</v>
      </c>
      <c r="D2621" s="3" t="str">
        <f t="shared" si="259"/>
        <v>男</v>
      </c>
      <c r="E2621" s="3" t="str">
        <f>"2507019102"</f>
        <v>2507019102</v>
      </c>
      <c r="F2621" s="3" t="str">
        <f t="shared" si="260"/>
        <v>91</v>
      </c>
      <c r="G2621" s="4" t="str">
        <f>"02"</f>
        <v>02</v>
      </c>
      <c r="H2621" s="5">
        <v>53</v>
      </c>
      <c r="I2621" s="3"/>
    </row>
    <row r="2622" customHeight="1" spans="1:9">
      <c r="A2622" s="3" t="str">
        <f t="shared" si="258"/>
        <v>0122</v>
      </c>
      <c r="B2622" s="3" t="s">
        <v>26</v>
      </c>
      <c r="C2622" s="3" t="str">
        <f>"徐义武"</f>
        <v>徐义武</v>
      </c>
      <c r="D2622" s="3" t="str">
        <f t="shared" si="259"/>
        <v>男</v>
      </c>
      <c r="E2622" s="3" t="str">
        <f>"2507019103"</f>
        <v>2507019103</v>
      </c>
      <c r="F2622" s="3" t="str">
        <f t="shared" si="260"/>
        <v>91</v>
      </c>
      <c r="G2622" s="4" t="str">
        <f>"03"</f>
        <v>03</v>
      </c>
      <c r="H2622" s="5">
        <v>0</v>
      </c>
      <c r="I2622" s="3" t="s">
        <v>11</v>
      </c>
    </row>
    <row r="2623" customHeight="1" spans="1:9">
      <c r="A2623" s="3" t="str">
        <f t="shared" si="258"/>
        <v>0122</v>
      </c>
      <c r="B2623" s="3" t="s">
        <v>26</v>
      </c>
      <c r="C2623" s="3" t="str">
        <f>"郭文博"</f>
        <v>郭文博</v>
      </c>
      <c r="D2623" s="3" t="str">
        <f t="shared" si="259"/>
        <v>男</v>
      </c>
      <c r="E2623" s="3" t="str">
        <f>"2507019104"</f>
        <v>2507019104</v>
      </c>
      <c r="F2623" s="3" t="str">
        <f t="shared" si="260"/>
        <v>91</v>
      </c>
      <c r="G2623" s="4" t="str">
        <f>"04"</f>
        <v>04</v>
      </c>
      <c r="H2623" s="5">
        <v>52</v>
      </c>
      <c r="I2623" s="3"/>
    </row>
    <row r="2624" customHeight="1" spans="1:9">
      <c r="A2624" s="3" t="str">
        <f t="shared" si="258"/>
        <v>0122</v>
      </c>
      <c r="B2624" s="3" t="s">
        <v>26</v>
      </c>
      <c r="C2624" s="3" t="str">
        <f>"李佳硕"</f>
        <v>李佳硕</v>
      </c>
      <c r="D2624" s="3" t="str">
        <f t="shared" si="259"/>
        <v>男</v>
      </c>
      <c r="E2624" s="3" t="str">
        <f>"2507019105"</f>
        <v>2507019105</v>
      </c>
      <c r="F2624" s="3" t="str">
        <f t="shared" si="260"/>
        <v>91</v>
      </c>
      <c r="G2624" s="4" t="str">
        <f>"05"</f>
        <v>05</v>
      </c>
      <c r="H2624" s="5">
        <v>54</v>
      </c>
      <c r="I2624" s="3"/>
    </row>
    <row r="2625" customHeight="1" spans="1:9">
      <c r="A2625" s="3" t="str">
        <f t="shared" si="258"/>
        <v>0122</v>
      </c>
      <c r="B2625" s="3" t="s">
        <v>26</v>
      </c>
      <c r="C2625" s="3" t="str">
        <f>"娄宜磊"</f>
        <v>娄宜磊</v>
      </c>
      <c r="D2625" s="3" t="str">
        <f t="shared" si="259"/>
        <v>男</v>
      </c>
      <c r="E2625" s="3" t="str">
        <f>"2507019106"</f>
        <v>2507019106</v>
      </c>
      <c r="F2625" s="3" t="str">
        <f t="shared" si="260"/>
        <v>91</v>
      </c>
      <c r="G2625" s="4" t="str">
        <f>"06"</f>
        <v>06</v>
      </c>
      <c r="H2625" s="5">
        <v>46</v>
      </c>
      <c r="I2625" s="3"/>
    </row>
    <row r="2626" customHeight="1" spans="1:9">
      <c r="A2626" s="3" t="str">
        <f t="shared" si="258"/>
        <v>0122</v>
      </c>
      <c r="B2626" s="3" t="s">
        <v>26</v>
      </c>
      <c r="C2626" s="3" t="str">
        <f>"王玄烨"</f>
        <v>王玄烨</v>
      </c>
      <c r="D2626" s="3" t="str">
        <f t="shared" si="259"/>
        <v>男</v>
      </c>
      <c r="E2626" s="3" t="str">
        <f>"2507019107"</f>
        <v>2507019107</v>
      </c>
      <c r="F2626" s="3" t="str">
        <f t="shared" si="260"/>
        <v>91</v>
      </c>
      <c r="G2626" s="4" t="str">
        <f>"07"</f>
        <v>07</v>
      </c>
      <c r="H2626" s="5">
        <v>37.5</v>
      </c>
      <c r="I2626" s="3"/>
    </row>
    <row r="2627" customHeight="1" spans="1:9">
      <c r="A2627" s="3" t="str">
        <f t="shared" si="258"/>
        <v>0122</v>
      </c>
      <c r="B2627" s="3" t="s">
        <v>26</v>
      </c>
      <c r="C2627" s="3" t="str">
        <f>"李俊环"</f>
        <v>李俊环</v>
      </c>
      <c r="D2627" s="3" t="str">
        <f t="shared" si="259"/>
        <v>男</v>
      </c>
      <c r="E2627" s="3" t="str">
        <f>"2507019108"</f>
        <v>2507019108</v>
      </c>
      <c r="F2627" s="3" t="str">
        <f t="shared" si="260"/>
        <v>91</v>
      </c>
      <c r="G2627" s="4" t="str">
        <f>"08"</f>
        <v>08</v>
      </c>
      <c r="H2627" s="5">
        <v>0</v>
      </c>
      <c r="I2627" s="3" t="s">
        <v>11</v>
      </c>
    </row>
    <row r="2628" customHeight="1" spans="1:9">
      <c r="A2628" s="3" t="str">
        <f t="shared" si="258"/>
        <v>0122</v>
      </c>
      <c r="B2628" s="3" t="s">
        <v>26</v>
      </c>
      <c r="C2628" s="3" t="str">
        <f>"杨烁"</f>
        <v>杨烁</v>
      </c>
      <c r="D2628" s="3" t="str">
        <f>"女"</f>
        <v>女</v>
      </c>
      <c r="E2628" s="3" t="str">
        <f>"2507019109"</f>
        <v>2507019109</v>
      </c>
      <c r="F2628" s="3" t="str">
        <f t="shared" si="260"/>
        <v>91</v>
      </c>
      <c r="G2628" s="4" t="str">
        <f>"09"</f>
        <v>09</v>
      </c>
      <c r="H2628" s="5">
        <v>49</v>
      </c>
      <c r="I2628" s="3"/>
    </row>
    <row r="2629" customHeight="1" spans="1:9">
      <c r="A2629" s="3" t="str">
        <f t="shared" si="258"/>
        <v>0122</v>
      </c>
      <c r="B2629" s="3" t="s">
        <v>26</v>
      </c>
      <c r="C2629" s="3" t="str">
        <f>"王辉"</f>
        <v>王辉</v>
      </c>
      <c r="D2629" s="3" t="str">
        <f>"男"</f>
        <v>男</v>
      </c>
      <c r="E2629" s="3" t="str">
        <f>"2507019110"</f>
        <v>2507019110</v>
      </c>
      <c r="F2629" s="3" t="str">
        <f t="shared" si="260"/>
        <v>91</v>
      </c>
      <c r="G2629" s="4" t="str">
        <f>"10"</f>
        <v>10</v>
      </c>
      <c r="H2629" s="5">
        <v>0</v>
      </c>
      <c r="I2629" s="3" t="s">
        <v>11</v>
      </c>
    </row>
    <row r="2630" customHeight="1" spans="1:9">
      <c r="A2630" s="3" t="str">
        <f t="shared" si="258"/>
        <v>0122</v>
      </c>
      <c r="B2630" s="3" t="s">
        <v>26</v>
      </c>
      <c r="C2630" s="3" t="str">
        <f>"蒋冉芹"</f>
        <v>蒋冉芹</v>
      </c>
      <c r="D2630" s="3" t="str">
        <f>"女"</f>
        <v>女</v>
      </c>
      <c r="E2630" s="3" t="str">
        <f>"2507019111"</f>
        <v>2507019111</v>
      </c>
      <c r="F2630" s="3" t="str">
        <f t="shared" si="260"/>
        <v>91</v>
      </c>
      <c r="G2630" s="4" t="str">
        <f>"11"</f>
        <v>11</v>
      </c>
      <c r="H2630" s="5">
        <v>36</v>
      </c>
      <c r="I2630" s="3"/>
    </row>
    <row r="2631" customHeight="1" spans="1:9">
      <c r="A2631" s="3" t="str">
        <f t="shared" si="258"/>
        <v>0122</v>
      </c>
      <c r="B2631" s="3" t="s">
        <v>26</v>
      </c>
      <c r="C2631" s="3" t="str">
        <f>"顾士进"</f>
        <v>顾士进</v>
      </c>
      <c r="D2631" s="3" t="str">
        <f>"男"</f>
        <v>男</v>
      </c>
      <c r="E2631" s="3" t="str">
        <f>"2507019112"</f>
        <v>2507019112</v>
      </c>
      <c r="F2631" s="3" t="str">
        <f t="shared" si="260"/>
        <v>91</v>
      </c>
      <c r="G2631" s="4" t="str">
        <f>"12"</f>
        <v>12</v>
      </c>
      <c r="H2631" s="5">
        <v>31.5</v>
      </c>
      <c r="I2631" s="3"/>
    </row>
    <row r="2632" customHeight="1" spans="1:9">
      <c r="A2632" s="3" t="str">
        <f t="shared" si="258"/>
        <v>0122</v>
      </c>
      <c r="B2632" s="3" t="s">
        <v>26</v>
      </c>
      <c r="C2632" s="3" t="str">
        <f>"王雅萍"</f>
        <v>王雅萍</v>
      </c>
      <c r="D2632" s="3" t="str">
        <f>"女"</f>
        <v>女</v>
      </c>
      <c r="E2632" s="3" t="str">
        <f>"2507019113"</f>
        <v>2507019113</v>
      </c>
      <c r="F2632" s="3" t="str">
        <f t="shared" si="260"/>
        <v>91</v>
      </c>
      <c r="G2632" s="4" t="str">
        <f>"13"</f>
        <v>13</v>
      </c>
      <c r="H2632" s="5">
        <v>0</v>
      </c>
      <c r="I2632" s="3" t="s">
        <v>11</v>
      </c>
    </row>
    <row r="2633" customHeight="1" spans="1:9">
      <c r="A2633" s="3" t="str">
        <f t="shared" si="258"/>
        <v>0122</v>
      </c>
      <c r="B2633" s="3" t="s">
        <v>26</v>
      </c>
      <c r="C2633" s="3" t="str">
        <f>"孙梦"</f>
        <v>孙梦</v>
      </c>
      <c r="D2633" s="3" t="str">
        <f>"女"</f>
        <v>女</v>
      </c>
      <c r="E2633" s="3" t="str">
        <f>"2507019114"</f>
        <v>2507019114</v>
      </c>
      <c r="F2633" s="3" t="str">
        <f t="shared" si="260"/>
        <v>91</v>
      </c>
      <c r="G2633" s="4" t="str">
        <f>"14"</f>
        <v>14</v>
      </c>
      <c r="H2633" s="5">
        <v>0</v>
      </c>
      <c r="I2633" s="3" t="s">
        <v>11</v>
      </c>
    </row>
    <row r="2634" customHeight="1" spans="1:9">
      <c r="A2634" s="3" t="str">
        <f t="shared" si="258"/>
        <v>0122</v>
      </c>
      <c r="B2634" s="3" t="s">
        <v>26</v>
      </c>
      <c r="C2634" s="3" t="str">
        <f>"彭斌"</f>
        <v>彭斌</v>
      </c>
      <c r="D2634" s="3" t="str">
        <f>"男"</f>
        <v>男</v>
      </c>
      <c r="E2634" s="3" t="str">
        <f>"2507019115"</f>
        <v>2507019115</v>
      </c>
      <c r="F2634" s="3" t="str">
        <f t="shared" si="260"/>
        <v>91</v>
      </c>
      <c r="G2634" s="4" t="str">
        <f>"15"</f>
        <v>15</v>
      </c>
      <c r="H2634" s="5">
        <v>0</v>
      </c>
      <c r="I2634" s="3" t="s">
        <v>11</v>
      </c>
    </row>
    <row r="2635" customHeight="1" spans="1:9">
      <c r="A2635" s="3" t="str">
        <f t="shared" si="258"/>
        <v>0122</v>
      </c>
      <c r="B2635" s="3" t="s">
        <v>26</v>
      </c>
      <c r="C2635" s="3" t="str">
        <f>"王奕"</f>
        <v>王奕</v>
      </c>
      <c r="D2635" s="3" t="str">
        <f>"女"</f>
        <v>女</v>
      </c>
      <c r="E2635" s="3" t="str">
        <f>"2507019116"</f>
        <v>2507019116</v>
      </c>
      <c r="F2635" s="3" t="str">
        <f t="shared" si="260"/>
        <v>91</v>
      </c>
      <c r="G2635" s="4" t="str">
        <f>"16"</f>
        <v>16</v>
      </c>
      <c r="H2635" s="5">
        <v>36</v>
      </c>
      <c r="I2635" s="3"/>
    </row>
    <row r="2636" customHeight="1" spans="1:9">
      <c r="A2636" s="3" t="str">
        <f t="shared" si="258"/>
        <v>0122</v>
      </c>
      <c r="B2636" s="3" t="s">
        <v>26</v>
      </c>
      <c r="C2636" s="3" t="str">
        <f>"史彬彬"</f>
        <v>史彬彬</v>
      </c>
      <c r="D2636" s="3" t="str">
        <f>"男"</f>
        <v>男</v>
      </c>
      <c r="E2636" s="3" t="str">
        <f>"2507019117"</f>
        <v>2507019117</v>
      </c>
      <c r="F2636" s="3" t="str">
        <f t="shared" si="260"/>
        <v>91</v>
      </c>
      <c r="G2636" s="4" t="str">
        <f>"17"</f>
        <v>17</v>
      </c>
      <c r="H2636" s="5">
        <v>0</v>
      </c>
      <c r="I2636" s="3" t="s">
        <v>11</v>
      </c>
    </row>
    <row r="2637" customHeight="1" spans="1:9">
      <c r="A2637" s="3" t="str">
        <f t="shared" si="258"/>
        <v>0122</v>
      </c>
      <c r="B2637" s="3" t="s">
        <v>26</v>
      </c>
      <c r="C2637" s="3" t="str">
        <f>"董伟凤"</f>
        <v>董伟凤</v>
      </c>
      <c r="D2637" s="3" t="str">
        <f>"女"</f>
        <v>女</v>
      </c>
      <c r="E2637" s="3" t="str">
        <f>"2507019118"</f>
        <v>2507019118</v>
      </c>
      <c r="F2637" s="3" t="str">
        <f t="shared" si="260"/>
        <v>91</v>
      </c>
      <c r="G2637" s="4" t="str">
        <f>"18"</f>
        <v>18</v>
      </c>
      <c r="H2637" s="5">
        <v>35.5</v>
      </c>
      <c r="I2637" s="3"/>
    </row>
  </sheetData>
  <mergeCells count="1">
    <mergeCell ref="A1:I1"/>
  </mergeCells>
  <pageMargins left="0.109722222222222" right="0.196527777777778" top="0.196527777777778" bottom="0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PZHL_D</dc:creator>
  <cp:lastModifiedBy>梦之蓝</cp:lastModifiedBy>
  <dcterms:created xsi:type="dcterms:W3CDTF">2025-07-11T03:33:00Z</dcterms:created>
  <dcterms:modified xsi:type="dcterms:W3CDTF">2025-07-22T03:42:04Z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450B6830D2004E4695BCEB00232B08CD_13</vt:lpwstr>
  </property>
  <property fmtid="{D5CDD505-2E9C-101B-9397-08002B2CF9AE}" pid="3" name="KSOProductBuildVer">
    <vt:lpwstr>2052-12.1.0.21915</vt:lpwstr>
  </property>
</Properties>
</file>